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05" windowWidth="14205" windowHeight="11880"/>
  </bookViews>
  <sheets>
    <sheet name="Лист1" sheetId="1" r:id="rId1"/>
  </sheets>
  <definedNames>
    <definedName name="_xlnm._FilterDatabase" localSheetId="0" hidden="1">Лист1!$A$1:$M$1</definedName>
    <definedName name="_xlnm.Print_Titles" localSheetId="0">Лист1!$6:$8</definedName>
    <definedName name="_xlnm.Print_Area" localSheetId="0">Лист1!$A$1:$M$834</definedName>
  </definedNames>
  <calcPr calcId="145621"/>
</workbook>
</file>

<file path=xl/calcChain.xml><?xml version="1.0" encoding="utf-8"?>
<calcChain xmlns="http://schemas.openxmlformats.org/spreadsheetml/2006/main">
  <c r="G74" i="1" l="1"/>
  <c r="C502" i="1" l="1"/>
  <c r="H343" i="1" l="1"/>
  <c r="G343" i="1"/>
  <c r="C469" i="1" l="1"/>
  <c r="G565" i="1" l="1"/>
  <c r="G564" i="1"/>
  <c r="H366" i="1" l="1"/>
  <c r="G366" i="1"/>
  <c r="G390" i="1" l="1"/>
  <c r="H390" i="1"/>
  <c r="G133" i="1" l="1"/>
  <c r="G268" i="1" l="1"/>
  <c r="C289" i="1"/>
  <c r="G289" i="1"/>
  <c r="H289" i="1"/>
  <c r="K289" i="1"/>
  <c r="L289" i="1"/>
  <c r="G269" i="1"/>
  <c r="D436" i="1" l="1"/>
  <c r="E436" i="1"/>
  <c r="F436" i="1"/>
  <c r="G436" i="1"/>
  <c r="H436" i="1"/>
  <c r="I436" i="1"/>
  <c r="J436" i="1"/>
  <c r="K436" i="1"/>
  <c r="L436" i="1"/>
  <c r="C436" i="1"/>
  <c r="D9" i="1" l="1"/>
  <c r="E9" i="1"/>
  <c r="F9" i="1"/>
  <c r="I9" i="1"/>
  <c r="J9" i="1"/>
  <c r="K9" i="1"/>
  <c r="L9" i="1"/>
  <c r="C9" i="1"/>
  <c r="H55" i="1"/>
  <c r="H54" i="1" s="1"/>
  <c r="H9" i="1" s="1"/>
  <c r="I55" i="1"/>
  <c r="J55" i="1"/>
  <c r="K55" i="1"/>
  <c r="L55" i="1"/>
  <c r="G55" i="1"/>
  <c r="G54" i="1" s="1"/>
  <c r="C55" i="1"/>
  <c r="C54" i="1"/>
  <c r="G143" i="1" l="1"/>
  <c r="H558" i="1" l="1"/>
  <c r="G550" i="1" l="1"/>
  <c r="H314" i="1" l="1"/>
  <c r="G90" i="1" l="1"/>
  <c r="K826" i="1" l="1"/>
  <c r="G314" i="1" l="1"/>
  <c r="H133" i="1" l="1"/>
  <c r="L133" i="1"/>
  <c r="K133" i="1"/>
  <c r="G824" i="1" l="1"/>
  <c r="G253" i="1"/>
  <c r="G141" i="1" l="1"/>
  <c r="G652" i="1" l="1"/>
  <c r="H652" i="1"/>
  <c r="K652" i="1"/>
  <c r="L652" i="1"/>
  <c r="C652" i="1"/>
  <c r="K455" i="1" l="1"/>
  <c r="L356" i="1" l="1"/>
  <c r="K354" i="1"/>
  <c r="K352" i="1"/>
  <c r="L349" i="1"/>
  <c r="K839" i="1"/>
  <c r="I839" i="1"/>
  <c r="C839" i="1"/>
  <c r="G170" i="1"/>
  <c r="H170" i="1"/>
  <c r="K170" i="1"/>
  <c r="L170" i="1"/>
  <c r="L838" i="1"/>
  <c r="J838" i="1"/>
  <c r="G348" i="1"/>
  <c r="H348" i="1"/>
  <c r="K348" i="1"/>
  <c r="L348" i="1"/>
  <c r="C348" i="1"/>
  <c r="L841" i="1" l="1"/>
  <c r="K841" i="1"/>
  <c r="J841" i="1"/>
  <c r="I841" i="1"/>
  <c r="L842" i="1" l="1"/>
  <c r="K842" i="1"/>
  <c r="J842" i="1"/>
  <c r="I842" i="1"/>
  <c r="C314" i="1"/>
  <c r="G353" i="1"/>
  <c r="H353" i="1"/>
  <c r="K353" i="1"/>
  <c r="L353" i="1"/>
  <c r="C353" i="1"/>
  <c r="C359" i="1"/>
  <c r="C358" i="1" s="1"/>
  <c r="G359" i="1"/>
  <c r="G358" i="1" s="1"/>
  <c r="H359" i="1"/>
  <c r="H358" i="1" s="1"/>
  <c r="K359" i="1"/>
  <c r="K358" i="1" s="1"/>
  <c r="L359" i="1"/>
  <c r="L358" i="1" s="1"/>
  <c r="C364" i="1"/>
  <c r="C366" i="1"/>
  <c r="G363" i="1"/>
  <c r="H363" i="1"/>
  <c r="K366" i="1"/>
  <c r="K363" i="1" s="1"/>
  <c r="L366" i="1"/>
  <c r="L363" i="1" s="1"/>
  <c r="C371" i="1"/>
  <c r="C370" i="1" s="1"/>
  <c r="G371" i="1"/>
  <c r="G370" i="1" s="1"/>
  <c r="K371" i="1"/>
  <c r="K370" i="1" s="1"/>
  <c r="L371" i="1"/>
  <c r="L370" i="1" s="1"/>
  <c r="H371" i="1"/>
  <c r="H370" i="1" s="1"/>
  <c r="C383" i="1"/>
  <c r="C382" i="1" s="1"/>
  <c r="G383" i="1"/>
  <c r="G382" i="1" s="1"/>
  <c r="H383" i="1"/>
  <c r="H382" i="1" s="1"/>
  <c r="K383" i="1"/>
  <c r="K382" i="1" s="1"/>
  <c r="L383" i="1"/>
  <c r="L382" i="1" s="1"/>
  <c r="C390" i="1"/>
  <c r="C389" i="1" s="1"/>
  <c r="C388" i="1" s="1"/>
  <c r="G389" i="1"/>
  <c r="G388" i="1" s="1"/>
  <c r="H389" i="1"/>
  <c r="H388" i="1" s="1"/>
  <c r="K390" i="1"/>
  <c r="K389" i="1" s="1"/>
  <c r="K388" i="1" s="1"/>
  <c r="L390" i="1"/>
  <c r="L389" i="1" s="1"/>
  <c r="L388" i="1" s="1"/>
  <c r="C396" i="1"/>
  <c r="G396" i="1"/>
  <c r="H396" i="1"/>
  <c r="K396" i="1"/>
  <c r="L396" i="1"/>
  <c r="C398" i="1"/>
  <c r="G398" i="1"/>
  <c r="H398" i="1"/>
  <c r="K398" i="1"/>
  <c r="L398" i="1"/>
  <c r="C402" i="1"/>
  <c r="C401" i="1" s="1"/>
  <c r="G402" i="1"/>
  <c r="G401" i="1" s="1"/>
  <c r="H402" i="1"/>
  <c r="H401" i="1" s="1"/>
  <c r="K402" i="1"/>
  <c r="K401" i="1" s="1"/>
  <c r="L402" i="1"/>
  <c r="L401" i="1" s="1"/>
  <c r="C406" i="1"/>
  <c r="G406" i="1"/>
  <c r="H406" i="1"/>
  <c r="K406" i="1"/>
  <c r="L406" i="1"/>
  <c r="C409" i="1"/>
  <c r="G409" i="1"/>
  <c r="H409" i="1"/>
  <c r="K409" i="1"/>
  <c r="L410" i="1"/>
  <c r="L409" i="1" s="1"/>
  <c r="C412" i="1"/>
  <c r="G412" i="1"/>
  <c r="H412" i="1"/>
  <c r="K412" i="1"/>
  <c r="L412" i="1"/>
  <c r="C415" i="1"/>
  <c r="G415" i="1"/>
  <c r="H415" i="1"/>
  <c r="K415" i="1"/>
  <c r="L415" i="1"/>
  <c r="C422" i="1"/>
  <c r="C421" i="1" s="1"/>
  <c r="G422" i="1"/>
  <c r="G421" i="1" s="1"/>
  <c r="H422" i="1"/>
  <c r="H421" i="1" s="1"/>
  <c r="K422" i="1"/>
  <c r="K421" i="1" s="1"/>
  <c r="L422" i="1"/>
  <c r="L421" i="1" s="1"/>
  <c r="C435" i="1"/>
  <c r="G435" i="1"/>
  <c r="H435" i="1"/>
  <c r="K435" i="1"/>
  <c r="L435" i="1"/>
  <c r="C363" i="1" l="1"/>
  <c r="C362" i="1" s="1"/>
  <c r="H405" i="1"/>
  <c r="C420" i="1"/>
  <c r="K420" i="1"/>
  <c r="G420" i="1"/>
  <c r="K405" i="1"/>
  <c r="L405" i="1"/>
  <c r="G405" i="1"/>
  <c r="C405" i="1"/>
  <c r="L395" i="1"/>
  <c r="H395" i="1"/>
  <c r="H394" i="1" s="1"/>
  <c r="K395" i="1"/>
  <c r="K394" i="1" s="1"/>
  <c r="G395" i="1"/>
  <c r="C395" i="1"/>
  <c r="H420" i="1"/>
  <c r="L362" i="1"/>
  <c r="H362" i="1"/>
  <c r="K362" i="1"/>
  <c r="G362" i="1"/>
  <c r="L420" i="1"/>
  <c r="L394" i="1" l="1"/>
  <c r="G394" i="1"/>
  <c r="C394" i="1"/>
  <c r="L840" i="1"/>
  <c r="C462" i="1" l="1"/>
  <c r="G462" i="1"/>
  <c r="H462" i="1"/>
  <c r="K462" i="1"/>
  <c r="G539" i="1"/>
  <c r="H539" i="1"/>
  <c r="K539" i="1"/>
  <c r="C539" i="1"/>
  <c r="G541" i="1"/>
  <c r="H541" i="1"/>
  <c r="K541" i="1"/>
  <c r="L541" i="1"/>
  <c r="C541" i="1"/>
  <c r="L539" i="1"/>
  <c r="G488" i="1"/>
  <c r="H488" i="1"/>
  <c r="K488" i="1"/>
  <c r="C488" i="1"/>
  <c r="G491" i="1"/>
  <c r="H491" i="1"/>
  <c r="L491" i="1"/>
  <c r="C491" i="1"/>
  <c r="K495" i="1"/>
  <c r="K491" i="1" s="1"/>
  <c r="L488" i="1"/>
  <c r="G466" i="1"/>
  <c r="H466" i="1"/>
  <c r="L466" i="1"/>
  <c r="C466" i="1"/>
  <c r="K466" i="1"/>
  <c r="L462" i="1"/>
  <c r="G450" i="1"/>
  <c r="H450" i="1"/>
  <c r="L450" i="1"/>
  <c r="C450" i="1"/>
  <c r="K450" i="1"/>
  <c r="G444" i="1"/>
  <c r="H444" i="1"/>
  <c r="K444" i="1"/>
  <c r="C444" i="1"/>
  <c r="L444" i="1"/>
  <c r="K351" i="1"/>
  <c r="H351" i="1"/>
  <c r="G351" i="1"/>
  <c r="C351" i="1"/>
  <c r="G292" i="1"/>
  <c r="H292" i="1"/>
  <c r="K292" i="1"/>
  <c r="L292" i="1"/>
  <c r="C292" i="1"/>
  <c r="L290" i="1"/>
  <c r="K290" i="1"/>
  <c r="H290" i="1"/>
  <c r="G290" i="1"/>
  <c r="C290" i="1"/>
  <c r="G487" i="1" l="1"/>
  <c r="L443" i="1"/>
  <c r="L487" i="1"/>
  <c r="H443" i="1"/>
  <c r="H487" i="1"/>
  <c r="C443" i="1"/>
  <c r="G443" i="1"/>
  <c r="K487" i="1"/>
  <c r="K443" i="1"/>
  <c r="C487" i="1"/>
  <c r="G839" i="1" l="1"/>
  <c r="C580" i="1" l="1"/>
  <c r="C845" i="1" l="1"/>
  <c r="C498" i="1" l="1"/>
  <c r="G301" i="1" l="1"/>
  <c r="H301" i="1"/>
  <c r="K301" i="1"/>
  <c r="L301" i="1"/>
  <c r="C301" i="1"/>
  <c r="C199" i="1"/>
  <c r="C198" i="1" s="1"/>
  <c r="C204" i="1"/>
  <c r="C203" i="1" s="1"/>
  <c r="G630" i="1"/>
  <c r="C808" i="1"/>
  <c r="G814" i="1"/>
  <c r="H814" i="1"/>
  <c r="K814" i="1"/>
  <c r="L814" i="1"/>
  <c r="C814" i="1"/>
  <c r="H819" i="1"/>
  <c r="K819" i="1"/>
  <c r="L819" i="1"/>
  <c r="C819" i="1"/>
  <c r="G826" i="1"/>
  <c r="H826" i="1"/>
  <c r="L826" i="1"/>
  <c r="C826" i="1"/>
  <c r="L816" i="1"/>
  <c r="K816" i="1"/>
  <c r="H816" i="1"/>
  <c r="G816" i="1"/>
  <c r="C816" i="1"/>
  <c r="G811" i="1"/>
  <c r="H811" i="1"/>
  <c r="K811" i="1"/>
  <c r="L811" i="1"/>
  <c r="C811" i="1"/>
  <c r="G805" i="1"/>
  <c r="H805" i="1"/>
  <c r="K805" i="1"/>
  <c r="L805" i="1"/>
  <c r="C805" i="1"/>
  <c r="G802" i="1"/>
  <c r="H802" i="1"/>
  <c r="K802" i="1"/>
  <c r="L802" i="1"/>
  <c r="C802" i="1"/>
  <c r="L799" i="1"/>
  <c r="K799" i="1"/>
  <c r="H799" i="1"/>
  <c r="G799" i="1"/>
  <c r="C799" i="1"/>
  <c r="G796" i="1"/>
  <c r="H796" i="1"/>
  <c r="K796" i="1"/>
  <c r="L796" i="1"/>
  <c r="C796" i="1"/>
  <c r="G794" i="1"/>
  <c r="H794" i="1"/>
  <c r="K794" i="1"/>
  <c r="L794" i="1"/>
  <c r="C794" i="1"/>
  <c r="H786" i="1"/>
  <c r="L786" i="1"/>
  <c r="C786" i="1"/>
  <c r="G790" i="1"/>
  <c r="G786" i="1" s="1"/>
  <c r="K789" i="1"/>
  <c r="K788" i="1"/>
  <c r="H775" i="1"/>
  <c r="K775" i="1"/>
  <c r="L775" i="1"/>
  <c r="C775" i="1"/>
  <c r="G784" i="1"/>
  <c r="G775" i="1" s="1"/>
  <c r="G772" i="1"/>
  <c r="H772" i="1"/>
  <c r="K772" i="1"/>
  <c r="L772" i="1"/>
  <c r="C772" i="1"/>
  <c r="G767" i="1"/>
  <c r="H767" i="1"/>
  <c r="K767" i="1"/>
  <c r="L767" i="1"/>
  <c r="C767" i="1"/>
  <c r="G764" i="1"/>
  <c r="H764" i="1"/>
  <c r="K764" i="1"/>
  <c r="L764" i="1"/>
  <c r="C764" i="1"/>
  <c r="L761" i="1"/>
  <c r="K761" i="1"/>
  <c r="H761" i="1"/>
  <c r="G761" i="1"/>
  <c r="C761" i="1"/>
  <c r="C758" i="1"/>
  <c r="L758" i="1"/>
  <c r="K758" i="1"/>
  <c r="H758" i="1"/>
  <c r="G758" i="1"/>
  <c r="H754" i="1"/>
  <c r="K754" i="1"/>
  <c r="L754" i="1"/>
  <c r="C754" i="1"/>
  <c r="G755" i="1"/>
  <c r="H748" i="1"/>
  <c r="L748" i="1"/>
  <c r="C748" i="1"/>
  <c r="K753" i="1"/>
  <c r="K748" i="1" s="1"/>
  <c r="G750" i="1"/>
  <c r="G749" i="1"/>
  <c r="H742" i="1"/>
  <c r="K742" i="1"/>
  <c r="L742" i="1"/>
  <c r="C742" i="1"/>
  <c r="C738" i="1"/>
  <c r="G744" i="1"/>
  <c r="G732" i="1"/>
  <c r="H732" i="1"/>
  <c r="K732" i="1"/>
  <c r="L732" i="1"/>
  <c r="C732" i="1"/>
  <c r="L738" i="1"/>
  <c r="K738" i="1"/>
  <c r="H738" i="1"/>
  <c r="G738" i="1"/>
  <c r="H691" i="1"/>
  <c r="K691" i="1"/>
  <c r="L691" i="1"/>
  <c r="C691" i="1"/>
  <c r="G707" i="1"/>
  <c r="H686" i="1"/>
  <c r="K686" i="1"/>
  <c r="L686" i="1"/>
  <c r="C686" i="1"/>
  <c r="G686" i="1"/>
  <c r="G678" i="1"/>
  <c r="K678" i="1"/>
  <c r="L678" i="1"/>
  <c r="C678" i="1"/>
  <c r="H684" i="1"/>
  <c r="H678" i="1" s="1"/>
  <c r="C675" i="1"/>
  <c r="L675" i="1"/>
  <c r="K675" i="1"/>
  <c r="H675" i="1"/>
  <c r="H668" i="1"/>
  <c r="L668" i="1"/>
  <c r="C668" i="1"/>
  <c r="K671" i="1"/>
  <c r="K668" i="1" s="1"/>
  <c r="G670" i="1"/>
  <c r="G663" i="1"/>
  <c r="H663" i="1"/>
  <c r="K663" i="1"/>
  <c r="L663" i="1"/>
  <c r="C663" i="1"/>
  <c r="H657" i="1"/>
  <c r="K657" i="1"/>
  <c r="L657" i="1"/>
  <c r="C657" i="1"/>
  <c r="G657" i="1"/>
  <c r="G655" i="1"/>
  <c r="H655" i="1"/>
  <c r="K655" i="1"/>
  <c r="L655" i="1"/>
  <c r="C655" i="1"/>
  <c r="G647" i="1"/>
  <c r="K647" i="1"/>
  <c r="L647" i="1"/>
  <c r="C647" i="1"/>
  <c r="H650" i="1"/>
  <c r="H647" i="1" s="1"/>
  <c r="H642" i="1"/>
  <c r="K642" i="1"/>
  <c r="L642" i="1"/>
  <c r="C642" i="1"/>
  <c r="G642" i="1"/>
  <c r="G637" i="1"/>
  <c r="H637" i="1"/>
  <c r="K637" i="1"/>
  <c r="L637" i="1"/>
  <c r="C630" i="1"/>
  <c r="C637" i="1"/>
  <c r="H630" i="1"/>
  <c r="K630" i="1"/>
  <c r="L630" i="1"/>
  <c r="G594" i="1"/>
  <c r="H594" i="1"/>
  <c r="K594" i="1"/>
  <c r="L594" i="1"/>
  <c r="C594" i="1"/>
  <c r="G580" i="1"/>
  <c r="H580" i="1"/>
  <c r="K580" i="1"/>
  <c r="L580" i="1"/>
  <c r="G571" i="1"/>
  <c r="H571" i="1"/>
  <c r="K571" i="1"/>
  <c r="L571" i="1"/>
  <c r="C571" i="1"/>
  <c r="G567" i="1"/>
  <c r="H567" i="1"/>
  <c r="K567" i="1"/>
  <c r="L567" i="1"/>
  <c r="C567" i="1"/>
  <c r="G559" i="1"/>
  <c r="H559" i="1"/>
  <c r="K559" i="1"/>
  <c r="L559" i="1"/>
  <c r="C559" i="1"/>
  <c r="L304" i="1"/>
  <c r="L303" i="1" s="1"/>
  <c r="L300" i="1" s="1"/>
  <c r="K304" i="1"/>
  <c r="K303" i="1" s="1"/>
  <c r="H304" i="1"/>
  <c r="H303" i="1" s="1"/>
  <c r="H300" i="1" s="1"/>
  <c r="G304" i="1"/>
  <c r="G303" i="1" s="1"/>
  <c r="C304" i="1"/>
  <c r="C303" i="1" s="1"/>
  <c r="H250" i="1"/>
  <c r="K250" i="1"/>
  <c r="L250" i="1"/>
  <c r="C250" i="1"/>
  <c r="G225" i="1"/>
  <c r="H225" i="1"/>
  <c r="K225" i="1"/>
  <c r="L225" i="1"/>
  <c r="C225" i="1"/>
  <c r="L215" i="1"/>
  <c r="L214" i="1" s="1"/>
  <c r="K215" i="1"/>
  <c r="K214" i="1" s="1"/>
  <c r="H215" i="1"/>
  <c r="H214" i="1" s="1"/>
  <c r="G215" i="1"/>
  <c r="G214" i="1" s="1"/>
  <c r="C215" i="1"/>
  <c r="C214" i="1" s="1"/>
  <c r="C170" i="1"/>
  <c r="H60" i="1"/>
  <c r="C60" i="1"/>
  <c r="C300" i="1" l="1"/>
  <c r="G748" i="1"/>
  <c r="G754" i="1"/>
  <c r="G300" i="1"/>
  <c r="K300" i="1"/>
  <c r="G691" i="1"/>
  <c r="G742" i="1"/>
  <c r="K786" i="1"/>
  <c r="G819" i="1"/>
  <c r="C629" i="1"/>
  <c r="G668" i="1"/>
  <c r="C623" i="1" l="1"/>
  <c r="C622" i="1" s="1"/>
  <c r="L623" i="1"/>
  <c r="L622" i="1" s="1"/>
  <c r="K623" i="1"/>
  <c r="K622" i="1" s="1"/>
  <c r="H623" i="1"/>
  <c r="H622" i="1" s="1"/>
  <c r="G623" i="1"/>
  <c r="G622" i="1" s="1"/>
  <c r="C97" i="1" l="1"/>
  <c r="G89" i="1"/>
  <c r="G319" i="1"/>
  <c r="H319" i="1"/>
  <c r="K319" i="1"/>
  <c r="L319" i="1"/>
  <c r="C319" i="1"/>
  <c r="H268" i="1"/>
  <c r="K268" i="1"/>
  <c r="L268" i="1"/>
  <c r="C268" i="1"/>
  <c r="G211" i="1"/>
  <c r="G210" i="1" s="1"/>
  <c r="H211" i="1"/>
  <c r="H210" i="1" s="1"/>
  <c r="K211" i="1"/>
  <c r="K210" i="1" s="1"/>
  <c r="L211" i="1"/>
  <c r="L210" i="1" s="1"/>
  <c r="C211" i="1"/>
  <c r="C210" i="1" s="1"/>
  <c r="C202" i="1" s="1"/>
  <c r="H204" i="1"/>
  <c r="K204" i="1"/>
  <c r="L204" i="1"/>
  <c r="G204" i="1"/>
  <c r="G178" i="1"/>
  <c r="H178" i="1"/>
  <c r="K178" i="1"/>
  <c r="C178" i="1"/>
  <c r="L179" i="1"/>
  <c r="L178" i="1" s="1"/>
  <c r="G174" i="1"/>
  <c r="H174" i="1"/>
  <c r="K174" i="1"/>
  <c r="L174" i="1"/>
  <c r="C174" i="1"/>
  <c r="L172" i="1"/>
  <c r="K172" i="1"/>
  <c r="H172" i="1"/>
  <c r="G172" i="1"/>
  <c r="C172" i="1"/>
  <c r="G161" i="1"/>
  <c r="H161" i="1"/>
  <c r="L161" i="1"/>
  <c r="C161" i="1"/>
  <c r="K164" i="1"/>
  <c r="K161" i="1" s="1"/>
  <c r="H140" i="1"/>
  <c r="H130" i="1"/>
  <c r="L129" i="1"/>
  <c r="K129" i="1"/>
  <c r="C121" i="1"/>
  <c r="C120" i="1"/>
  <c r="G97" i="1"/>
  <c r="H97" i="1"/>
  <c r="L99" i="1"/>
  <c r="L97" i="1" s="1"/>
  <c r="K99" i="1"/>
  <c r="K97" i="1" s="1"/>
  <c r="G81" i="1"/>
  <c r="G80" i="1"/>
  <c r="G79" i="1"/>
  <c r="L72" i="1"/>
  <c r="K72" i="1"/>
  <c r="L71" i="1"/>
  <c r="K71" i="1"/>
  <c r="L68" i="1"/>
  <c r="L60" i="1" s="1"/>
  <c r="K68" i="1"/>
  <c r="G17" i="1"/>
  <c r="H17" i="1"/>
  <c r="C17" i="1"/>
  <c r="L50" i="1"/>
  <c r="K50" i="1"/>
  <c r="L49" i="1"/>
  <c r="K49" i="1"/>
  <c r="L46" i="1"/>
  <c r="K46" i="1"/>
  <c r="L45" i="1"/>
  <c r="K45" i="1"/>
  <c r="L44" i="1"/>
  <c r="K44" i="1"/>
  <c r="G13" i="1"/>
  <c r="H13" i="1"/>
  <c r="K13" i="1"/>
  <c r="L13" i="1"/>
  <c r="C13" i="1"/>
  <c r="L17" i="1" l="1"/>
  <c r="K60" i="1"/>
  <c r="K17" i="1"/>
  <c r="G60" i="1"/>
  <c r="H114" i="1"/>
  <c r="C114" i="1"/>
  <c r="G114" i="1"/>
  <c r="G548" i="1"/>
  <c r="H548" i="1"/>
  <c r="K548" i="1"/>
  <c r="L548" i="1"/>
  <c r="C548" i="1"/>
  <c r="K845" i="1" l="1"/>
  <c r="L845" i="1"/>
  <c r="D845" i="1"/>
  <c r="E845" i="1"/>
  <c r="F845" i="1"/>
  <c r="G845" i="1"/>
  <c r="H845" i="1"/>
  <c r="I845" i="1"/>
  <c r="J845" i="1"/>
  <c r="G554" i="1"/>
  <c r="G553" i="1" s="1"/>
  <c r="G552" i="1" s="1"/>
  <c r="H554" i="1"/>
  <c r="H553" i="1" s="1"/>
  <c r="H552" i="1" s="1"/>
  <c r="K554" i="1"/>
  <c r="K553" i="1" s="1"/>
  <c r="K552" i="1" s="1"/>
  <c r="L554" i="1"/>
  <c r="L553" i="1" s="1"/>
  <c r="L552" i="1" s="1"/>
  <c r="C554" i="1"/>
  <c r="C553" i="1" s="1"/>
  <c r="C552" i="1" s="1"/>
  <c r="G482" i="1"/>
  <c r="G477" i="1" s="1"/>
  <c r="H477" i="1"/>
  <c r="K477" i="1"/>
  <c r="L477" i="1"/>
  <c r="C482" i="1"/>
  <c r="C477" i="1" s="1"/>
  <c r="G347" i="1"/>
  <c r="H347" i="1"/>
  <c r="K347" i="1"/>
  <c r="L347" i="1"/>
  <c r="C347" i="1"/>
  <c r="C343" i="1"/>
  <c r="G180" i="1"/>
  <c r="H180" i="1"/>
  <c r="K180" i="1"/>
  <c r="L180" i="1"/>
  <c r="C180" i="1"/>
  <c r="L119" i="1"/>
  <c r="L114" i="1" s="1"/>
  <c r="K119" i="1"/>
  <c r="K118" i="1"/>
  <c r="K114" i="1" l="1"/>
  <c r="G199" i="1"/>
  <c r="G198" i="1" s="1"/>
  <c r="H199" i="1"/>
  <c r="H198" i="1" s="1"/>
  <c r="K199" i="1"/>
  <c r="K198" i="1" s="1"/>
  <c r="L199" i="1"/>
  <c r="L198" i="1" s="1"/>
  <c r="G196" i="1"/>
  <c r="H196" i="1"/>
  <c r="K196" i="1"/>
  <c r="L196" i="1"/>
  <c r="C196" i="1"/>
  <c r="H89" i="1"/>
  <c r="K89" i="1"/>
  <c r="L89" i="1"/>
  <c r="C89" i="1"/>
  <c r="C88" i="1" s="1"/>
  <c r="G544" i="1" l="1"/>
  <c r="G543" i="1" s="1"/>
  <c r="H544" i="1"/>
  <c r="K544" i="1"/>
  <c r="K543" i="1" s="1"/>
  <c r="L544" i="1"/>
  <c r="L543" i="1" s="1"/>
  <c r="C544" i="1"/>
  <c r="C543" i="1" s="1"/>
  <c r="H547" i="1"/>
  <c r="L547" i="1"/>
  <c r="L546" i="1" s="1"/>
  <c r="C547" i="1"/>
  <c r="C546" i="1" s="1"/>
  <c r="G531" i="1"/>
  <c r="G530" i="1" s="1"/>
  <c r="H531" i="1"/>
  <c r="H530" i="1" s="1"/>
  <c r="K531" i="1"/>
  <c r="K530" i="1" s="1"/>
  <c r="L531" i="1"/>
  <c r="L530" i="1" s="1"/>
  <c r="C531" i="1"/>
  <c r="C530" i="1" s="1"/>
  <c r="C497" i="1"/>
  <c r="C517" i="1"/>
  <c r="G520" i="1"/>
  <c r="G519" i="1" s="1"/>
  <c r="H520" i="1"/>
  <c r="H519" i="1" s="1"/>
  <c r="K520" i="1"/>
  <c r="K519" i="1" s="1"/>
  <c r="L520" i="1"/>
  <c r="L519" i="1" s="1"/>
  <c r="C520" i="1"/>
  <c r="C519" i="1" s="1"/>
  <c r="C461" i="1"/>
  <c r="G461" i="1"/>
  <c r="H461" i="1"/>
  <c r="K461" i="1"/>
  <c r="L461" i="1"/>
  <c r="C473" i="1"/>
  <c r="C472" i="1" s="1"/>
  <c r="G473" i="1"/>
  <c r="G472" i="1" s="1"/>
  <c r="H473" i="1"/>
  <c r="H472" i="1" s="1"/>
  <c r="K473" i="1"/>
  <c r="K472" i="1" s="1"/>
  <c r="L473" i="1"/>
  <c r="L472" i="1" s="1"/>
  <c r="C476" i="1"/>
  <c r="G476" i="1"/>
  <c r="H476" i="1"/>
  <c r="K476" i="1"/>
  <c r="L476" i="1"/>
  <c r="G498" i="1"/>
  <c r="G497" i="1" s="1"/>
  <c r="H498" i="1"/>
  <c r="H497" i="1" s="1"/>
  <c r="K498" i="1"/>
  <c r="K497" i="1" s="1"/>
  <c r="L498" i="1"/>
  <c r="L497" i="1" s="1"/>
  <c r="G442" i="1" l="1"/>
  <c r="C442" i="1"/>
  <c r="H442" i="1"/>
  <c r="K442" i="1"/>
  <c r="L442" i="1"/>
  <c r="G547" i="1"/>
  <c r="G546" i="1" s="1"/>
  <c r="H543" i="1"/>
  <c r="H546" i="1"/>
  <c r="K547" i="1"/>
  <c r="K546" i="1" s="1"/>
  <c r="K11" i="1" l="1"/>
  <c r="K10" i="1" s="1"/>
  <c r="L11" i="1"/>
  <c r="L10" i="1" s="1"/>
  <c r="K16" i="1"/>
  <c r="L16" i="1"/>
  <c r="K59" i="1"/>
  <c r="L59" i="1"/>
  <c r="K88" i="1"/>
  <c r="K87" i="1" s="1"/>
  <c r="L88" i="1"/>
  <c r="L87" i="1" s="1"/>
  <c r="K94" i="1"/>
  <c r="K93" i="1" s="1"/>
  <c r="L94" i="1"/>
  <c r="L93" i="1" s="1"/>
  <c r="K96" i="1"/>
  <c r="L96" i="1"/>
  <c r="K101" i="1"/>
  <c r="K100" i="1" s="1"/>
  <c r="L101" i="1"/>
  <c r="L100" i="1" s="1"/>
  <c r="K107" i="1"/>
  <c r="L107" i="1"/>
  <c r="K109" i="1"/>
  <c r="L109" i="1"/>
  <c r="K113" i="1"/>
  <c r="L113" i="1"/>
  <c r="K151" i="1"/>
  <c r="L151" i="1"/>
  <c r="K153" i="1"/>
  <c r="L153" i="1"/>
  <c r="K157" i="1"/>
  <c r="L157" i="1"/>
  <c r="K159" i="1"/>
  <c r="L159" i="1"/>
  <c r="K176" i="1"/>
  <c r="L176" i="1"/>
  <c r="K184" i="1"/>
  <c r="L184" i="1"/>
  <c r="K186" i="1"/>
  <c r="L186" i="1"/>
  <c r="K190" i="1"/>
  <c r="L190" i="1"/>
  <c r="K193" i="1"/>
  <c r="K192" i="1" s="1"/>
  <c r="L193" i="1"/>
  <c r="L192" i="1" s="1"/>
  <c r="K195" i="1"/>
  <c r="L195" i="1"/>
  <c r="K203" i="1"/>
  <c r="L203" i="1"/>
  <c r="K218" i="1"/>
  <c r="L218" i="1"/>
  <c r="K220" i="1"/>
  <c r="L220" i="1"/>
  <c r="K222" i="1"/>
  <c r="L222" i="1"/>
  <c r="K224" i="1"/>
  <c r="L224" i="1"/>
  <c r="K232" i="1"/>
  <c r="L232" i="1"/>
  <c r="K234" i="1"/>
  <c r="L234" i="1"/>
  <c r="K236" i="1"/>
  <c r="L236" i="1"/>
  <c r="K239" i="1"/>
  <c r="L239" i="1"/>
  <c r="K247" i="1"/>
  <c r="K246" i="1" s="1"/>
  <c r="L247" i="1"/>
  <c r="L246" i="1" s="1"/>
  <c r="K249" i="1"/>
  <c r="L249" i="1"/>
  <c r="K263" i="1"/>
  <c r="K262" i="1" s="1"/>
  <c r="L263" i="1"/>
  <c r="L262" i="1" s="1"/>
  <c r="K267" i="1"/>
  <c r="L267" i="1"/>
  <c r="K298" i="1"/>
  <c r="K297" i="1" s="1"/>
  <c r="L298" i="1"/>
  <c r="L297" i="1" s="1"/>
  <c r="K309" i="1"/>
  <c r="K308" i="1" s="1"/>
  <c r="L309" i="1"/>
  <c r="L308" i="1" s="1"/>
  <c r="K314" i="1"/>
  <c r="K313" i="1" s="1"/>
  <c r="L314" i="1"/>
  <c r="L313" i="1" s="1"/>
  <c r="K318" i="1"/>
  <c r="L318" i="1"/>
  <c r="K332" i="1"/>
  <c r="K331" i="1" s="1"/>
  <c r="L332" i="1"/>
  <c r="L331" i="1" s="1"/>
  <c r="K338" i="1"/>
  <c r="K337" i="1" s="1"/>
  <c r="L338" i="1"/>
  <c r="L337" i="1" s="1"/>
  <c r="K343" i="1"/>
  <c r="K342" i="1" s="1"/>
  <c r="L343" i="1"/>
  <c r="L342" i="1" s="1"/>
  <c r="K508" i="1"/>
  <c r="K507" i="1" s="1"/>
  <c r="L508" i="1"/>
  <c r="L507" i="1" s="1"/>
  <c r="K511" i="1"/>
  <c r="K510" i="1" s="1"/>
  <c r="L511" i="1"/>
  <c r="L510" i="1" s="1"/>
  <c r="K513" i="1"/>
  <c r="L513" i="1"/>
  <c r="K514" i="1"/>
  <c r="L514" i="1"/>
  <c r="K517" i="1"/>
  <c r="K516" i="1" s="1"/>
  <c r="L517" i="1"/>
  <c r="L516" i="1" s="1"/>
  <c r="K525" i="1"/>
  <c r="K524" i="1" s="1"/>
  <c r="L525" i="1"/>
  <c r="L524" i="1" s="1"/>
  <c r="K528" i="1"/>
  <c r="K527" i="1" s="1"/>
  <c r="L528" i="1"/>
  <c r="L527" i="1" s="1"/>
  <c r="K558" i="1"/>
  <c r="L558" i="1"/>
  <c r="K566" i="1"/>
  <c r="L566" i="1"/>
  <c r="K570" i="1"/>
  <c r="L570" i="1"/>
  <c r="K579" i="1"/>
  <c r="L579" i="1"/>
  <c r="K586" i="1"/>
  <c r="K585" i="1" s="1"/>
  <c r="L586" i="1"/>
  <c r="L585" i="1" s="1"/>
  <c r="K593" i="1"/>
  <c r="L593" i="1"/>
  <c r="K601" i="1"/>
  <c r="K600" i="1" s="1"/>
  <c r="L601" i="1"/>
  <c r="L600" i="1" s="1"/>
  <c r="K604" i="1"/>
  <c r="L604" i="1"/>
  <c r="K607" i="1"/>
  <c r="L607" i="1"/>
  <c r="K610" i="1"/>
  <c r="K609" i="1" s="1"/>
  <c r="L610" i="1"/>
  <c r="L609" i="1" s="1"/>
  <c r="K616" i="1"/>
  <c r="L616" i="1"/>
  <c r="K619" i="1"/>
  <c r="L619" i="1"/>
  <c r="K627" i="1"/>
  <c r="K626" i="1" s="1"/>
  <c r="L627" i="1"/>
  <c r="L626" i="1" s="1"/>
  <c r="K808" i="1"/>
  <c r="K629" i="1" s="1"/>
  <c r="L808" i="1"/>
  <c r="L629" i="1" s="1"/>
  <c r="G11" i="1"/>
  <c r="G10" i="1" s="1"/>
  <c r="H11" i="1"/>
  <c r="H10" i="1" s="1"/>
  <c r="G16" i="1"/>
  <c r="G9" i="1" s="1"/>
  <c r="H16" i="1"/>
  <c r="G59" i="1"/>
  <c r="H59" i="1"/>
  <c r="G88" i="1"/>
  <c r="G87" i="1" s="1"/>
  <c r="H88" i="1"/>
  <c r="H87" i="1" s="1"/>
  <c r="G94" i="1"/>
  <c r="G93" i="1" s="1"/>
  <c r="H94" i="1"/>
  <c r="H93" i="1" s="1"/>
  <c r="G96" i="1"/>
  <c r="H96" i="1"/>
  <c r="G101" i="1"/>
  <c r="G100" i="1" s="1"/>
  <c r="H101" i="1"/>
  <c r="H100" i="1" s="1"/>
  <c r="G107" i="1"/>
  <c r="H107" i="1"/>
  <c r="G109" i="1"/>
  <c r="H109" i="1"/>
  <c r="G113" i="1"/>
  <c r="H113" i="1"/>
  <c r="G151" i="1"/>
  <c r="H151" i="1"/>
  <c r="G153" i="1"/>
  <c r="H153" i="1"/>
  <c r="G157" i="1"/>
  <c r="H157" i="1"/>
  <c r="G159" i="1"/>
  <c r="H159" i="1"/>
  <c r="G176" i="1"/>
  <c r="H176" i="1"/>
  <c r="G184" i="1"/>
  <c r="H184" i="1"/>
  <c r="G186" i="1"/>
  <c r="H186" i="1"/>
  <c r="G190" i="1"/>
  <c r="H190" i="1"/>
  <c r="G193" i="1"/>
  <c r="G192" i="1" s="1"/>
  <c r="H193" i="1"/>
  <c r="H192" i="1" s="1"/>
  <c r="G195" i="1"/>
  <c r="H195" i="1"/>
  <c r="G203" i="1"/>
  <c r="H203" i="1"/>
  <c r="G218" i="1"/>
  <c r="H218" i="1"/>
  <c r="G220" i="1"/>
  <c r="H220" i="1"/>
  <c r="G222" i="1"/>
  <c r="H222" i="1"/>
  <c r="G224" i="1"/>
  <c r="H224" i="1"/>
  <c r="G232" i="1"/>
  <c r="H232" i="1"/>
  <c r="G234" i="1"/>
  <c r="H234" i="1"/>
  <c r="G236" i="1"/>
  <c r="H236" i="1"/>
  <c r="G239" i="1"/>
  <c r="H239" i="1"/>
  <c r="G247" i="1"/>
  <c r="G246" i="1" s="1"/>
  <c r="H247" i="1"/>
  <c r="H246" i="1" s="1"/>
  <c r="H249" i="1"/>
  <c r="G263" i="1"/>
  <c r="G262" i="1" s="1"/>
  <c r="G250" i="1" s="1"/>
  <c r="G249" i="1" s="1"/>
  <c r="H263" i="1"/>
  <c r="H262" i="1" s="1"/>
  <c r="G267" i="1"/>
  <c r="H267" i="1"/>
  <c r="G298" i="1"/>
  <c r="G297" i="1" s="1"/>
  <c r="H298" i="1"/>
  <c r="H297" i="1" s="1"/>
  <c r="G309" i="1"/>
  <c r="G308" i="1" s="1"/>
  <c r="H309" i="1"/>
  <c r="H308" i="1" s="1"/>
  <c r="G313" i="1"/>
  <c r="H313" i="1"/>
  <c r="G318" i="1"/>
  <c r="H318" i="1"/>
  <c r="G332" i="1"/>
  <c r="G331" i="1" s="1"/>
  <c r="H332" i="1"/>
  <c r="H331" i="1" s="1"/>
  <c r="G338" i="1"/>
  <c r="G337" i="1" s="1"/>
  <c r="H338" i="1"/>
  <c r="H337" i="1" s="1"/>
  <c r="G342" i="1"/>
  <c r="H342" i="1"/>
  <c r="G508" i="1"/>
  <c r="G507" i="1" s="1"/>
  <c r="H508" i="1"/>
  <c r="H507" i="1" s="1"/>
  <c r="G511" i="1"/>
  <c r="G510" i="1" s="1"/>
  <c r="H511" i="1"/>
  <c r="H510" i="1" s="1"/>
  <c r="G513" i="1"/>
  <c r="H513" i="1"/>
  <c r="G514" i="1"/>
  <c r="H514" i="1"/>
  <c r="G517" i="1"/>
  <c r="G516" i="1" s="1"/>
  <c r="H517" i="1"/>
  <c r="H516" i="1" s="1"/>
  <c r="G525" i="1"/>
  <c r="G524" i="1" s="1"/>
  <c r="H525" i="1"/>
  <c r="H524" i="1" s="1"/>
  <c r="G528" i="1"/>
  <c r="G527" i="1" s="1"/>
  <c r="H528" i="1"/>
  <c r="H527" i="1" s="1"/>
  <c r="G558" i="1"/>
  <c r="G566" i="1"/>
  <c r="H566" i="1"/>
  <c r="G570" i="1"/>
  <c r="H570" i="1"/>
  <c r="G579" i="1"/>
  <c r="H579" i="1"/>
  <c r="G586" i="1"/>
  <c r="G585" i="1" s="1"/>
  <c r="H586" i="1"/>
  <c r="H585" i="1" s="1"/>
  <c r="G593" i="1"/>
  <c r="H593" i="1"/>
  <c r="G601" i="1"/>
  <c r="G600" i="1" s="1"/>
  <c r="H601" i="1"/>
  <c r="H600" i="1" s="1"/>
  <c r="G604" i="1"/>
  <c r="H604" i="1"/>
  <c r="G607" i="1"/>
  <c r="H607" i="1"/>
  <c r="G610" i="1"/>
  <c r="G609" i="1" s="1"/>
  <c r="H610" i="1"/>
  <c r="H609" i="1" s="1"/>
  <c r="G616" i="1"/>
  <c r="H616" i="1"/>
  <c r="G619" i="1"/>
  <c r="H619" i="1"/>
  <c r="G627" i="1"/>
  <c r="G626" i="1" s="1"/>
  <c r="H627" i="1"/>
  <c r="H626" i="1" s="1"/>
  <c r="G808" i="1"/>
  <c r="G629" i="1" s="1"/>
  <c r="H808" i="1"/>
  <c r="H629" i="1" s="1"/>
  <c r="G557" i="1" l="1"/>
  <c r="H169" i="1"/>
  <c r="H168" i="1" s="1"/>
  <c r="G169" i="1"/>
  <c r="G168" i="1" s="1"/>
  <c r="L169" i="1"/>
  <c r="L168" i="1" s="1"/>
  <c r="K169" i="1"/>
  <c r="K168" i="1" s="1"/>
  <c r="H266" i="1"/>
  <c r="G266" i="1"/>
  <c r="L266" i="1"/>
  <c r="K266" i="1"/>
  <c r="K615" i="1"/>
  <c r="K614" i="1" s="1"/>
  <c r="H150" i="1"/>
  <c r="G615" i="1"/>
  <c r="G614" i="1" s="1"/>
  <c r="L584" i="1"/>
  <c r="L557" i="1"/>
  <c r="G231" i="1"/>
  <c r="G156" i="1"/>
  <c r="L603" i="1"/>
  <c r="L599" i="1" s="1"/>
  <c r="K584" i="1"/>
  <c r="L615" i="1"/>
  <c r="L614" i="1" s="1"/>
  <c r="H603" i="1"/>
  <c r="H599" i="1" s="1"/>
  <c r="H557" i="1"/>
  <c r="H615" i="1"/>
  <c r="H614" i="1" s="1"/>
  <c r="K183" i="1"/>
  <c r="K182" i="1" s="1"/>
  <c r="G183" i="1"/>
  <c r="G182" i="1" s="1"/>
  <c r="L183" i="1"/>
  <c r="L182" i="1" s="1"/>
  <c r="H584" i="1"/>
  <c r="K557" i="1"/>
  <c r="H317" i="1"/>
  <c r="L317" i="1"/>
  <c r="L231" i="1"/>
  <c r="K217" i="1"/>
  <c r="L156" i="1"/>
  <c r="L217" i="1"/>
  <c r="L213" i="1" s="1"/>
  <c r="K156" i="1"/>
  <c r="H496" i="1"/>
  <c r="H231" i="1"/>
  <c r="G217" i="1"/>
  <c r="G213" i="1" s="1"/>
  <c r="H156" i="1"/>
  <c r="G106" i="1"/>
  <c r="G58" i="1" s="1"/>
  <c r="L150" i="1"/>
  <c r="L106" i="1"/>
  <c r="L58" i="1" s="1"/>
  <c r="G603" i="1"/>
  <c r="G599" i="1" s="1"/>
  <c r="G317" i="1"/>
  <c r="H217" i="1"/>
  <c r="H183" i="1"/>
  <c r="H182" i="1" s="1"/>
  <c r="G150" i="1"/>
  <c r="H106" i="1"/>
  <c r="H58" i="1" s="1"/>
  <c r="K603" i="1"/>
  <c r="K599" i="1" s="1"/>
  <c r="K317" i="1"/>
  <c r="K231" i="1"/>
  <c r="K213" i="1" s="1"/>
  <c r="K150" i="1"/>
  <c r="K106" i="1"/>
  <c r="K58" i="1" s="1"/>
  <c r="L496" i="1"/>
  <c r="K245" i="1"/>
  <c r="G496" i="1"/>
  <c r="K496" i="1"/>
  <c r="G245" i="1"/>
  <c r="H245" i="1"/>
  <c r="K336" i="1"/>
  <c r="G336" i="1"/>
  <c r="L336" i="1"/>
  <c r="G307" i="1"/>
  <c r="K307" i="1"/>
  <c r="H307" i="1"/>
  <c r="L307" i="1"/>
  <c r="L245" i="1"/>
  <c r="G584" i="1"/>
  <c r="H336" i="1"/>
  <c r="H112" i="1" l="1"/>
  <c r="G112" i="1"/>
  <c r="L112" i="1"/>
  <c r="H213" i="1"/>
  <c r="L202" i="1"/>
  <c r="G202" i="1"/>
  <c r="K112" i="1"/>
  <c r="H202" i="1"/>
  <c r="L834" i="1" l="1"/>
  <c r="L847" i="1" s="1"/>
  <c r="G834" i="1"/>
  <c r="G847" i="1" s="1"/>
  <c r="H834" i="1"/>
  <c r="H847" i="1" s="1"/>
  <c r="K202" i="1"/>
  <c r="K834" i="1" s="1"/>
  <c r="K847" i="1" l="1"/>
  <c r="L835" i="1"/>
  <c r="C186" i="1"/>
  <c r="C516" i="1" l="1"/>
  <c r="C586" i="1" l="1"/>
  <c r="C101" i="1" l="1"/>
  <c r="C619" i="1" l="1"/>
  <c r="C338" i="1" l="1"/>
  <c r="C627" i="1" l="1"/>
  <c r="C626" i="1" s="1"/>
  <c r="C528" i="1"/>
  <c r="C511" i="1"/>
  <c r="C508" i="1"/>
  <c r="C193" i="1"/>
  <c r="C157" i="1"/>
  <c r="C11" i="1"/>
  <c r="C10" i="1" s="1"/>
  <c r="C610" i="1"/>
  <c r="C609" i="1" s="1"/>
  <c r="C604" i="1"/>
  <c r="C601" i="1"/>
  <c r="C513" i="1"/>
  <c r="C514" i="1"/>
  <c r="C234" i="1" l="1"/>
  <c r="C109" i="1"/>
  <c r="C59" i="1"/>
  <c r="C607" i="1" l="1"/>
  <c r="C239" i="1"/>
  <c r="C236" i="1"/>
  <c r="C222" i="1"/>
  <c r="C220" i="1"/>
  <c r="C603" i="1" l="1"/>
  <c r="C153" i="1" l="1"/>
  <c r="C94" i="1"/>
  <c r="C93" i="1" s="1"/>
  <c r="F847" i="1" l="1"/>
  <c r="J847" i="1" l="1"/>
  <c r="J835" i="1"/>
  <c r="E847" i="1"/>
  <c r="I847" i="1" l="1"/>
  <c r="C263" i="1" l="1"/>
  <c r="C262" i="1" l="1"/>
  <c r="C100" i="1" l="1"/>
  <c r="C309" i="1" l="1"/>
  <c r="C616" i="1" l="1"/>
  <c r="C615" i="1" l="1"/>
  <c r="C614" i="1" s="1"/>
  <c r="C308" i="1" l="1"/>
  <c r="C332" i="1"/>
  <c r="C334" i="1"/>
  <c r="C337" i="1"/>
  <c r="C342" i="1"/>
  <c r="C232" i="1"/>
  <c r="C231" i="1" s="1"/>
  <c r="C331" i="1" l="1"/>
  <c r="C313" i="1"/>
  <c r="C307" i="1" s="1"/>
  <c r="C336" i="1"/>
  <c r="C318" i="1"/>
  <c r="C317" i="1" l="1"/>
  <c r="C151" i="1" l="1"/>
  <c r="C150" i="1" s="1"/>
  <c r="C96" i="1" l="1"/>
  <c r="C507" i="1" l="1"/>
  <c r="C510" i="1"/>
  <c r="C298" i="1"/>
  <c r="C297" i="1" s="1"/>
  <c r="C176" i="1" l="1"/>
  <c r="C159" i="1"/>
  <c r="C156" i="1" s="1"/>
  <c r="C169" i="1" l="1"/>
  <c r="C168" i="1" s="1"/>
  <c r="C190" i="1"/>
  <c r="C218" i="1" l="1"/>
  <c r="C217" i="1" s="1"/>
  <c r="C107" i="1"/>
  <c r="C106" i="1" s="1"/>
  <c r="C525" i="1" l="1"/>
  <c r="C524" i="1" l="1"/>
  <c r="C87" i="1" l="1"/>
  <c r="C58" i="1" s="1"/>
  <c r="C566" i="1" l="1"/>
  <c r="C593" i="1" l="1"/>
  <c r="C585" i="1"/>
  <c r="C224" i="1"/>
  <c r="C213" i="1" s="1"/>
  <c r="C584" i="1" l="1"/>
  <c r="D847" i="1" l="1"/>
  <c r="C184" i="1" l="1"/>
  <c r="C183" i="1" s="1"/>
  <c r="C527" i="1" l="1"/>
  <c r="C496" i="1" s="1"/>
  <c r="C600" i="1" l="1"/>
  <c r="C599" i="1" s="1"/>
  <c r="C570" i="1" l="1"/>
  <c r="C558" i="1"/>
  <c r="C267" i="1"/>
  <c r="C266" i="1" s="1"/>
  <c r="C249" i="1"/>
  <c r="C247" i="1"/>
  <c r="C195" i="1"/>
  <c r="C246" i="1" l="1"/>
  <c r="C245" i="1" s="1"/>
  <c r="C192" i="1" l="1"/>
  <c r="C182" i="1" s="1"/>
  <c r="C16" i="1" l="1"/>
  <c r="C113" i="1" l="1"/>
  <c r="C112" i="1" l="1"/>
  <c r="C579" i="1" l="1"/>
  <c r="C557" i="1" s="1"/>
  <c r="C834" i="1" s="1"/>
  <c r="C847" i="1" s="1"/>
</calcChain>
</file>

<file path=xl/sharedStrings.xml><?xml version="1.0" encoding="utf-8"?>
<sst xmlns="http://schemas.openxmlformats.org/spreadsheetml/2006/main" count="867" uniqueCount="675">
  <si>
    <t>№ ГП и ПП</t>
  </si>
  <si>
    <t xml:space="preserve"> Государственная программа "Развитие здравоохранения в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</si>
  <si>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</si>
  <si>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>902 Департамент культуры ЯО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</si>
  <si>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</si>
  <si>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</si>
  <si>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</si>
  <si>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</si>
  <si>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</si>
  <si>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</si>
  <si>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</si>
  <si>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</si>
  <si>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Государственная программа "Развитие культуры и туризма в Ярославской области"</t>
  </si>
  <si>
    <t>Областная целевая программа "Развитие туризма и отдыха в Ярославской области"</t>
  </si>
  <si>
    <t xml:space="preserve"> Государственная программа "Обеспечение качественными коммунальными услугами населения ЯО"</t>
  </si>
  <si>
    <t xml:space="preserve"> Государственная программа "Экономическое развитие и инновационная экономика в Ярославской области"</t>
  </si>
  <si>
    <t>Областная целевая программа "Стимулирование инвестиционной деятельности в Ярославской области"</t>
  </si>
  <si>
    <t>15 3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</si>
  <si>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</si>
  <si>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</si>
  <si>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</si>
  <si>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</si>
  <si>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</si>
  <si>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</si>
  <si>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</si>
  <si>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</si>
  <si>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</si>
  <si>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</si>
  <si>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</si>
  <si>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</si>
  <si>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</si>
  <si>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</si>
  <si>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</si>
  <si>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</si>
  <si>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</si>
  <si>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</si>
  <si>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</si>
  <si>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 xml:space="preserve">Ведомственная целевая программа департамента информатизации и связи ЯО 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</si>
  <si>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</si>
  <si>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</si>
  <si>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</si>
  <si>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</si>
  <si>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</si>
  <si>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Непрограммные расходы</t>
  </si>
  <si>
    <t>901 Департамент здравоохранения  и фармации ЯО</t>
  </si>
  <si>
    <t>Итого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</si>
  <si>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</si>
  <si>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</si>
  <si>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</si>
  <si>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</si>
  <si>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</si>
  <si>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</si>
  <si>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ОЦП "Патриотическое воспитание и допризывная подготовка граждан РФ, проживающих на территории ЯО"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</si>
  <si>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</si>
  <si>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</si>
  <si>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</si>
  <si>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</si>
  <si>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</si>
  <si>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Областная целевая программа "Семья и дети Ярославии"</t>
  </si>
  <si>
    <t>Ведомственная целевая программа департамента культуры Ярославской области</t>
  </si>
  <si>
    <t>Государственная программа "Развитие физической культуры и спорта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</si>
  <si>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</si>
  <si>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</si>
  <si>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</si>
  <si>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</si>
  <si>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</si>
  <si>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</si>
  <si>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</si>
  <si>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</si>
  <si>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</si>
  <si>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>Государственная программа "Охрана окружающей среды в Ярославской области"</t>
  </si>
  <si>
    <t>Региональная программа "Развитие водохозяйственного комплекса Ярославской области в 2013-2020 годах"</t>
  </si>
  <si>
    <t>Ведомственная целевая программа департамента жилищно-коммунального комплекса Ярославской области</t>
  </si>
  <si>
    <t>Государственная программа "Развитие дорожного хозяйства и транспорта в Ярославской области"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</si>
  <si>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</si>
  <si>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</si>
  <si>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</si>
  <si>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</si>
  <si>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</si>
  <si>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</si>
  <si>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</si>
  <si>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</si>
  <si>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</si>
  <si>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</si>
  <si>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</si>
  <si>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</si>
  <si>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</si>
  <si>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</si>
  <si>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38.0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</si>
  <si>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</si>
  <si>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</si>
  <si>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</si>
  <si>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</si>
  <si>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</si>
  <si>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</si>
  <si>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</si>
  <si>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</si>
  <si>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</si>
  <si>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</si>
  <si>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</si>
  <si>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</si>
  <si>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</si>
  <si>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</si>
  <si>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"Сохранность региональных автомобильных дорог Ярославской области"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</si>
  <si>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</si>
  <si>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</si>
  <si>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</si>
  <si>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</si>
  <si>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</si>
  <si>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</si>
  <si>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</si>
  <si>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</si>
  <si>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</si>
  <si>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</si>
  <si>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25.6</t>
  </si>
  <si>
    <t>927 Департамент транспорта ЯО</t>
  </si>
  <si>
    <t>951 Департамент ветеринарии ЯО</t>
  </si>
  <si>
    <t>905 Департамент агропромышленного комплекса и потребительского рынка ЯО</t>
  </si>
  <si>
    <t>931 Департамент государственного  жилищного надзора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</si>
  <si>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</si>
  <si>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</si>
  <si>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</si>
  <si>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Ведомственная целевая программа "Транспортное обслуживание населения Ярославской области"</t>
  </si>
  <si>
    <t>957 Департамент охраны объектов культурного наследия ЯО</t>
  </si>
  <si>
    <t>Областная целевая программа "Развитие сети автомобильных дорог в Ярославской области"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</si>
  <si>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</si>
  <si>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</si>
  <si>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</si>
  <si>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</si>
  <si>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</si>
  <si>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12.1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</si>
  <si>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</si>
  <si>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</si>
  <si>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</si>
  <si>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</si>
  <si>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</si>
  <si>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</si>
  <si>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955 Аппарат Уполномоченного по защите прав предпринимателей в ЯО</t>
  </si>
  <si>
    <t>Региональная программа "Газификация и модернизация жилищно-коммунального хозяйства, промышленных и иных организаций ЯО"</t>
  </si>
  <si>
    <t xml:space="preserve">923 Департамент по физической культуре, спорту и молодежной политике Ярославской области
</t>
  </si>
  <si>
    <t>923 Департамент по физической культуре, спорту и молодежной политике</t>
  </si>
  <si>
    <t>16.4</t>
  </si>
  <si>
    <t>941 Департамент инвестиций и промышленности ЯО</t>
  </si>
  <si>
    <t>958 Аппарат Уполномоченного по правам человека в ЯО</t>
  </si>
  <si>
    <t>02.4</t>
  </si>
  <si>
    <t>Областная целевая программа "Повышение эффективности и качества профессионального образования ЯО"</t>
  </si>
  <si>
    <t xml:space="preserve">Увеличение областных средств </t>
  </si>
  <si>
    <t>Строительство и реконструкция объектов культурного назначения</t>
  </si>
  <si>
    <t>Наименование</t>
  </si>
  <si>
    <t>Ведомственная целевая программа департамента имущественных и земельных отношений Ярославской области</t>
  </si>
  <si>
    <t>39.6</t>
  </si>
  <si>
    <t>Реализация мероприятий инициативного бюджетирования на территории Ярославской области</t>
  </si>
  <si>
    <t>911 Департамент имущественных и земельных отношений</t>
  </si>
  <si>
    <t>Региональная программа "Комплексное развитие транспортной инфраструктуры городской агломерации "Ярославская"</t>
  </si>
  <si>
    <t>908 Департамент жилищно-коммунального хозяйства, энергетики и регулирования тарифов  ЯО</t>
  </si>
  <si>
    <t>950 Департамент туризма ЯО</t>
  </si>
  <si>
    <t>908 Департамент жилищно-коммунального хозяйства, энергетики и регулирования тарифов ЯО</t>
  </si>
  <si>
    <t>923 Департамент по физической культуре, спорту и молодежной политике ЯО</t>
  </si>
  <si>
    <t>959 Аппарат Уполномоченного по правам ребенка в ЯО</t>
  </si>
  <si>
    <t>10.6</t>
  </si>
  <si>
    <t>Областная целевая программа "Развитие региональной системы оповещения Ярославской области"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</si>
  <si>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</si>
  <si>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Федеральные средства</t>
  </si>
  <si>
    <t>01.0</t>
  </si>
  <si>
    <t>01.1</t>
  </si>
  <si>
    <t>01.3</t>
  </si>
  <si>
    <t>02.0</t>
  </si>
  <si>
    <t>02.1</t>
  </si>
  <si>
    <t>03.0</t>
  </si>
  <si>
    <t>03.1</t>
  </si>
  <si>
    <t>03.3</t>
  </si>
  <si>
    <t>05.0</t>
  </si>
  <si>
    <t>05.2</t>
  </si>
  <si>
    <t>05.3</t>
  </si>
  <si>
    <t>08.4</t>
  </si>
  <si>
    <t>10.0</t>
  </si>
  <si>
    <t>11.0</t>
  </si>
  <si>
    <t>11.1</t>
  </si>
  <si>
    <t>11.3</t>
  </si>
  <si>
    <t>11.4</t>
  </si>
  <si>
    <t>12.0</t>
  </si>
  <si>
    <t>12.4</t>
  </si>
  <si>
    <t>13.0</t>
  </si>
  <si>
    <t>13.1</t>
  </si>
  <si>
    <t>13.2</t>
  </si>
  <si>
    <t>14.0</t>
  </si>
  <si>
    <t>14.2</t>
  </si>
  <si>
    <t>14.4</t>
  </si>
  <si>
    <t>14.6</t>
  </si>
  <si>
    <t>15.0</t>
  </si>
  <si>
    <t>15.1</t>
  </si>
  <si>
    <t>15.6</t>
  </si>
  <si>
    <t>22.0</t>
  </si>
  <si>
    <t>23.3</t>
  </si>
  <si>
    <t>23.5</t>
  </si>
  <si>
    <t>24.0</t>
  </si>
  <si>
    <t>24.1</t>
  </si>
  <si>
    <t>24.5</t>
  </si>
  <si>
    <t>36.1</t>
  </si>
  <si>
    <t>50.0</t>
  </si>
  <si>
    <t>Приложение 3</t>
  </si>
  <si>
    <t>к пояснительной записке</t>
  </si>
  <si>
    <t>руб.</t>
  </si>
  <si>
    <t>08.0</t>
  </si>
  <si>
    <t xml:space="preserve">Уменьшение областных средств </t>
  </si>
  <si>
    <t>Перераспределение ассигнований</t>
  </si>
  <si>
    <t>ОМБО</t>
  </si>
  <si>
    <t>Местная</t>
  </si>
  <si>
    <t>власть</t>
  </si>
  <si>
    <t>соцсфера</t>
  </si>
  <si>
    <t>дорожники</t>
  </si>
  <si>
    <t>АПК</t>
  </si>
  <si>
    <t>госдолг</t>
  </si>
  <si>
    <t>строители</t>
  </si>
  <si>
    <t>итого</t>
  </si>
  <si>
    <t>разница</t>
  </si>
  <si>
    <t xml:space="preserve">Информация по внесению изменений в Закон Ярославской области 
"Об областном бюджете на 2018 год и на плановый период 2019 и 2020 годов" 
</t>
  </si>
  <si>
    <t>02.3</t>
  </si>
  <si>
    <t>Строительство и реконструкция зданий образовательных организаций</t>
  </si>
  <si>
    <t>38.5</t>
  </si>
  <si>
    <t>Областная целевая программа " "Развитие государственной гражданской и муниципальной службы в Ярославской области"</t>
  </si>
  <si>
    <t>+</t>
  </si>
  <si>
    <t>-</t>
  </si>
  <si>
    <t>950  Департамент туризма ЯО</t>
  </si>
  <si>
    <t>36.4</t>
  </si>
  <si>
    <t>Обслуживание государственного долга Ярославской области  и планирование  административных расходов  по управлению государственным долгом Ярославской области</t>
  </si>
  <si>
    <t>25.4</t>
  </si>
  <si>
    <t>949 Инспекция административно-технического  надзора  ЯО</t>
  </si>
  <si>
    <t>917 Избирательная комиссия  ЯО</t>
  </si>
  <si>
    <t>Региональная программа "Развитие льняного комплекса Ярославской области"</t>
  </si>
  <si>
    <t>Ведомственная целевая программа департамента агропромышленного комплекса и потребительского рынка Ярославской области</t>
  </si>
  <si>
    <t>Природоохранные мероприятия</t>
  </si>
  <si>
    <t>Субсидия на мероприятия в области обращения с отходами</t>
  </si>
  <si>
    <t>Увеличение уставного капитала ОАО "Скоково"</t>
  </si>
  <si>
    <t>Субсидии на поддержку сельскохозяйственного производства</t>
  </si>
  <si>
    <t>Субсидии на поддержку введения в оборот неиспользуемых земель сельскохозяйственого назначения</t>
  </si>
  <si>
    <t>Субвенция на реализацию отдельных полномочий в сфере поддержки сельскохозяйственного производства</t>
  </si>
  <si>
    <t>Субсидирование процентных ставок по привлеченным инвестиционным кредитам</t>
  </si>
  <si>
    <t>Субсидия на выполнение государственного задания подведомственным учреждением</t>
  </si>
  <si>
    <t>Субсидии на развитие льняного комплекса</t>
  </si>
  <si>
    <t>Субсидия на государственное задание подведомственному учреждению</t>
  </si>
  <si>
    <t>Субсидия на мероприятия по развитию газификации в сельской местности</t>
  </si>
  <si>
    <t>Субсидия на реализацию проектов комплексного обустройства площадок под компактную жилищную застройку</t>
  </si>
  <si>
    <t>Субсидия на грантовую поддержку местных инициатив граждан</t>
  </si>
  <si>
    <t>25.9</t>
  </si>
  <si>
    <t xml:space="preserve">Региональная программа "Развитие мелиорации земель сельскохозяйственного назначения Ярославской области" </t>
  </si>
  <si>
    <t>Субсидия на возмещение части затрат на проведение культуртехнических работ</t>
  </si>
  <si>
    <t>29.0</t>
  </si>
  <si>
    <t xml:space="preserve"> Государственная программа "Развитие лесного хозяйства Ярославской области"</t>
  </si>
  <si>
    <t>936 Департамент лесного хозяйства ЯО</t>
  </si>
  <si>
    <t>Субвенция на реализацию отдельных полномочий в области лесных отношений</t>
  </si>
  <si>
    <t>Мероприятия, направленные на поддержку подведомственных учреждений лесного хозяйства</t>
  </si>
  <si>
    <t>Строительство медицинских организаций Ярославской области</t>
  </si>
  <si>
    <t>Строительство и реконструкция зданий для реализации образовательной программы дошкольного образования</t>
  </si>
  <si>
    <t xml:space="preserve">Реализация отдельных функций и полномочий в области социальной поддержки пожилых граждан (реализация  мероприятий по строительству (реконструкции) учреждений социального обслуживания населения) </t>
  </si>
  <si>
    <t>Обеспечение деятельности ГКУ ЯО "Единая служба заказчика"</t>
  </si>
  <si>
    <t>05.4</t>
  </si>
  <si>
    <t xml:space="preserve">Основное мероприятие "Расселение граждан из аварийного жилищного фонда, находящегося на территории Богоявленского женского монастыря"
</t>
  </si>
  <si>
    <t>Субсидия на реализацию мероприятий по строительству и реконструкции объектов берегоукрепления</t>
  </si>
  <si>
    <t>Реализация мероприятий по строительству и реконструкции объектов водоснабжения и водоотведения</t>
  </si>
  <si>
    <t>Субсидия на реализацию мероприятий по строительству объектов газификации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</si>
  <si>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</si>
  <si>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</si>
  <si>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</si>
  <si>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Субсидия на иные цели ГБУ ЯО "Яроблтранском" на реализацию мероприятий по повышению доступности автовокзалов и автостанций для инвалидов и других маломобильных групп населения</t>
  </si>
  <si>
    <t>Улучшение жилищных условий реабилитированных лиц</t>
  </si>
  <si>
    <t>Государственная поддержка молодых семей Ярославской области в приобретении (строительстве) жилья</t>
  </si>
  <si>
    <t>Компенсация выпадающих доходов ресурсоснабжающих организаций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</si>
  <si>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</si>
  <si>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</si>
  <si>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</si>
  <si>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 xml:space="preserve"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
</t>
  </si>
  <si>
    <t>Субсидия транспортным организациям на возмещение недополученных доходов от предоставления социальных услуг льготным категориям граждан</t>
  </si>
  <si>
    <t>Субвенция на освобождение от оплаты стоимости проезда детей из многодетных семей</t>
  </si>
  <si>
    <t xml:space="preserve">Субсидия организациям железнодорожного транспорта  на компенсацию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 и обучающимся </t>
  </si>
  <si>
    <t>Субсидия на возмещение затрат транспортных предприятий, осуществляющих пассажирские перевозки по государственно регулируемым тарифам</t>
  </si>
  <si>
    <t>автомобильный транспорт</t>
  </si>
  <si>
    <t>железнодорожный транспорт</t>
  </si>
  <si>
    <t>Мероприятия по обеспечению мобилизационной готовности экономики</t>
  </si>
  <si>
    <t>Субсидия на финансовое обеспечение выполнения госзадания ГБУ ЯО "Яроблтранском"</t>
  </si>
  <si>
    <t>30.0</t>
  </si>
  <si>
    <t>Государственная программа "Энергоэффективность и развитие энергетики в Ярославской области"</t>
  </si>
  <si>
    <t>Региональная программа "Энергосбережение и повышение энергоэффективности в Ярославской области"</t>
  </si>
  <si>
    <t>Разработка схемы и программы развития электроэнергетики Ярославской области</t>
  </si>
  <si>
    <t>Перераспределение ассигнований на ВЦП департамента информатизации и связи в целях недопущения снижения производительности РС ЕГИСЗ ЯО при возрастающей нагрузке на центр обработки данных ГБУЗ "Электронный регион", обусловленной тиражированием клинических сервисов РС ЕГИСЗ ЯО в двенадцати медицинских организациях ЯО.</t>
  </si>
  <si>
    <t>Перераспределение ассигнований между видами расходов в целях обеспечения исполнения показателей "дорожной карты" по повышению оплаты труда отдельных категорий медицинских работников казенных учреждений.</t>
  </si>
  <si>
    <t>Перераспределение ассигнований между государственными казенными учреждениями и мероприятиями департамента для проведения капиатльного ремонта и проведения противопожарных мероприятий</t>
  </si>
  <si>
    <t>Перераспределение ассигнований в целях погашения кредиторской задолженности по обязательствам 2017 года.</t>
  </si>
  <si>
    <t>Перераспределение ассигнований между кодами бюджетной классификации в целях обеспечения исполнения показателей "дорожной карты" по повышению оплаты труда отдельных категорий  работников бюджетной сферы.</t>
  </si>
  <si>
    <t>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</si>
  <si>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Приобретение школьных автобусов</t>
  </si>
  <si>
    <t>Приобретение учебников</t>
  </si>
  <si>
    <t>Субсидия на выполнение государственного задания</t>
  </si>
  <si>
    <t>Субсидия на иные цели</t>
  </si>
  <si>
    <t>Субвенция на организацию образовательного процесса в общеобразовательных организациях</t>
  </si>
  <si>
    <t xml:space="preserve">Субвенция на организацию образовательного процесса в дошкольных образовательных организациях 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</si>
  <si>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</si>
  <si>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</si>
  <si>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</si>
  <si>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</si>
  <si>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Субсидия на повышение оплаты труда отдельных категорий работников муниципальных учреждений в сфере образования</t>
  </si>
  <si>
    <t>Субвенция на выплату единовременного пособия при всех формах устройства детей, лишенных родительского попечения, в семью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</si>
  <si>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</si>
  <si>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</si>
  <si>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</si>
  <si>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содержание специализированных учреждений в сфере социальной защиты населения</t>
  </si>
  <si>
    <t>Стационарные учреждения социального обслуживания для граждан пожилого возраста и инвалидов (ГКУ СО ЯО Гаврилов-Ямский детский дом-интернат для умственно отсталых детей)</t>
  </si>
  <si>
    <t>Прочие учреждения в сфере социальной политики (ГКУ СО ЯО -СРЦ для несовершеннолетних)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</si>
  <si>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</si>
  <si>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</si>
  <si>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Реализация отдельных функций и полномочий в области социальной поддержки населения</t>
  </si>
  <si>
    <t xml:space="preserve">Доп.потребность на выполнение п.1 перечня поручений по итогам заседания Губернаторского совета по реализации стратегии социально-экономического развития Ярославской области "10 точек роста" "О развитии системы социальной защиты населения Ярославской области" от 26.12.2017 №ДМ.01-0187/17      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</si>
  <si>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</si>
  <si>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 xml:space="preserve">Субсидии бюджетным и автономным учреждениям 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</si>
  <si>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</si>
  <si>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 xml:space="preserve">Субвенция на компенсацию части расходов на приобретение путевки в расположенные на территории Ярославской области организации отдыха детей и их оздоровления </t>
  </si>
  <si>
    <t>Субсидия 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</si>
  <si>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Субвенция на частичную оплату стоимости путевки в организации отдыха детей и их оздоровления</t>
  </si>
  <si>
    <t>Перераспределение ассигнований с департамента труда и социальной поддержки населения ЯО (федеральные средства)</t>
  </si>
  <si>
    <t>Мероприятия по оборудованию социально значимых объектов в целях обеспечения доступности для инвалидов</t>
  </si>
  <si>
    <t>Текущее содержание центров занятости населения</t>
  </si>
  <si>
    <t>07.3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</si>
  <si>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</si>
  <si>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Субсидия на повышение оплаты труда работников муниципальных учреждений в сфере культуры</t>
  </si>
  <si>
    <t>Перераспределение ассигнований на непрограммные расходы для возмещения средств в областной бюджет, взысканных на основании приказа Минфина РФ по результатам проверки использования субсидии из ФБ на развитие физической культуры и спорта.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</si>
  <si>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</si>
  <si>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</si>
  <si>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Рассходы на поддержку социально ориентированных некоммерческих организаций</t>
  </si>
  <si>
    <t>Предоставление субсидий социально ориентированным некоммерческим организациям на конкурсной основе</t>
  </si>
  <si>
    <t xml:space="preserve">Перераспределение бюджетных ассигнований с ведомственной целевой программы департамента здравоохранения для оплаты исполнительных листов </t>
  </si>
  <si>
    <t>Увеличение ассигнований для оплаты судебных издержек и пеней по исполнительным листам департамента здравоохранения и фармации Ярославской области</t>
  </si>
  <si>
    <t>909 Департамент труда и социальной поддержки населения</t>
  </si>
  <si>
    <t>Оказание мер социальной поддержки семьям граждан, погибших в результате катастроф и чрезвычайных ситуаций</t>
  </si>
  <si>
    <t>39.4</t>
  </si>
  <si>
    <t xml:space="preserve">Содействие решению вопросов местного значения по обращениям депутатов Ярославской областной Думы
</t>
  </si>
  <si>
    <t>Субвенция на обеспечение деятельности органов опеки и попечительства</t>
  </si>
  <si>
    <t>Субвенция на обеспечение деятельности органов местного самоуправления в сфере социальной защиты населения</t>
  </si>
  <si>
    <t>Областная целевая программа "Повышение безопасности дорожного движения в Ярославской области"</t>
  </si>
  <si>
    <t>Уменьшение ассигнований за счет экономии, образовавшейся в результате заключения контрактов</t>
  </si>
  <si>
    <t>Перераспределение ассигнований  на непрограммные расходы на выполнение судебных решений по исполнительным листам</t>
  </si>
  <si>
    <t>Расходы на приведение в соответствие с установленными нормативами страховых взносов во внебюджетные фонды</t>
  </si>
  <si>
    <t>Перераспределение ассигнований на непрограммные расходы для оплаты судебных рещений по исполнительным листам</t>
  </si>
  <si>
    <t>Обеспечение деятельности подведомственных учреждений в сфере пожарной безопасности</t>
  </si>
  <si>
    <t>Обеспечение деятельностиучреждений в сфере гражданской защитынаселения от чрезвычайных ситуаций</t>
  </si>
  <si>
    <t>Обеспечение деятельности подведомственных учреждений в сфере хранения запасов имущества гражданской обороны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</si>
  <si>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</si>
  <si>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11.7</t>
  </si>
  <si>
    <t>Ведомственная целевая программа департамента охраны культурного наследия Ярославской области</t>
  </si>
  <si>
    <t>Увеличение ассгнований в рамках ВЦП для выпуска специального блока "Открываем Отечество:Ярославская область"</t>
  </si>
  <si>
    <t>11.8</t>
  </si>
  <si>
    <t>Проведение ремонтных, реставрационных работ зданий, расположенных на Советской площади и прилегающих к ней территориях в городе Ярославле, с ландшафтным благоустройством и архитектурно-художественным освещением Советской площади</t>
  </si>
  <si>
    <t>Перераспределение ассигнований в связи с уточнением бюджетной классификации</t>
  </si>
  <si>
    <t>Предоставление на конкурсной основе субсидий социально ориентированным некоммерческим организациям</t>
  </si>
  <si>
    <t xml:space="preserve">Предоставление субсидий социально ориентированным некоммерческим организациям на конкурсной основе
</t>
  </si>
  <si>
    <t xml:space="preserve">Перераспределение ассигнований на непрограммные расходы на погашение  кредиторской задолженности в связи со сложившейся экономией от проведенных закупочных процедур </t>
  </si>
  <si>
    <t>Субсидии социально ориентированным некоммерческим организациям на конкурсной основе  на муниципальном уровне</t>
  </si>
  <si>
    <t>Перераспределение субсидий на муниципальные образования</t>
  </si>
  <si>
    <t>Реализация мероприятий по орнганизационно-техническому и нормативно-методическому обеспечению бюджетного процесса</t>
  </si>
  <si>
    <t>Содержание и обеспечение деятельности казенного учреждения</t>
  </si>
  <si>
    <t>Субсидия на реализацию мероприятий по информационному обеспечению муниципальных закупок</t>
  </si>
  <si>
    <t>Перераспределение субсидии по муниципальным образованиям</t>
  </si>
  <si>
    <t>Перераспределение ассигнований на непрограммные расходы для оплаты судебных решений по исполнительным листам</t>
  </si>
  <si>
    <t>Обеспечение деятельности ГБУ ЯО "Центр кадастровой оценки"</t>
  </si>
  <si>
    <t xml:space="preserve">Перераспределение  ассигнований между мероприятиями программы в связи с выделением мероприятия "Реализация мероприятий в сфере рекламной деятельности" </t>
  </si>
  <si>
    <t>Субсидия Адвокатской палате Ярославской области</t>
  </si>
  <si>
    <t>Перераспределение ассигнований на выполнение судебных решений по исполнительным листам</t>
  </si>
  <si>
    <t>Перераспределение ассигнований для выплат сокращенным работникам</t>
  </si>
  <si>
    <t>Увеличение ассигнований на оплату найма жилого помещения</t>
  </si>
  <si>
    <t>905 Департамент  агропромышленного комплекса и потребительского рынка ЯО</t>
  </si>
  <si>
    <t>906 Департамент финансов  ЯО</t>
  </si>
  <si>
    <t xml:space="preserve">Перераспределение ассигнований с РП "Энергосбережение и повышение энергоэффективности в ЯО" в связи с переездом  подразделений департамента жилищно-коммунального хозяйства, энергетики и регулирования тарифов ЯО с ул.Свободы. 62 на ул.Чайковского, 42 на  оснащение информационно-телекоммуникационной сети "Интернет" </t>
  </si>
  <si>
    <t>Увеличение ассигнований на исполнение судебных решений</t>
  </si>
  <si>
    <t>Увеличение ассигнований для оплаты судебных решений по исполнительным листам</t>
  </si>
  <si>
    <t>Перераспределение ассигнований с мероприятий по управлению государственным имуществом для оплаты судебных решений по исполнительным листам</t>
  </si>
  <si>
    <t>915 Контрольно-счетная палата ЯО</t>
  </si>
  <si>
    <t>918 Ярославская областная Дума</t>
  </si>
  <si>
    <t>Перераспределение ассгнований в связи с уточненем расходовт по депутатам  Ярославской областной Думы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</si>
  <si>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</si>
  <si>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профилактики безнадзорности, правонарушений несовершеннолетних и защиты их прав</t>
  </si>
  <si>
    <t>ГКУ ЯО "Транспортная служба"</t>
  </si>
  <si>
    <t>ГКУ ЯО "Государственный архив"</t>
  </si>
  <si>
    <t>ГКУ ЯО "УСЭАЗ"</t>
  </si>
  <si>
    <t>Перераспределение ассигнований на исполнение судебных решений по исполнительным листам</t>
  </si>
  <si>
    <t>924 Департамент строительства  ЯО</t>
  </si>
  <si>
    <t>Увеличение ассигнований на исполнение судебных решений по исполнительным листам</t>
  </si>
  <si>
    <t>Перераспределение ассигнований в связи с исполнением судебных решений по исполнительным листам</t>
  </si>
  <si>
    <t>933 Департамент государственного  заказа  ЯО</t>
  </si>
  <si>
    <t>934 Департамент государственной службы занятости населения  ЯО</t>
  </si>
  <si>
    <t>936 Департамент лесного хозяйства  ЯО</t>
  </si>
  <si>
    <t>938 Департамент охраны окружающей среды и природопользования  ЯО</t>
  </si>
  <si>
    <t>941 Департамент инвестиций и промышленности  ЯО</t>
  </si>
  <si>
    <t xml:space="preserve">Перераспределение ассигнований с РП "Государственная поддержка гражданских инициатив и социально ориентированных некоммерческих организаций ЯО" на погашение  кредиторской задолженности в связи со сложившейся экономией от проведенных закупочных процедур </t>
  </si>
  <si>
    <t xml:space="preserve">Перераспределение ассигнований с ОЦП "Реформирование принципов организации деятельности органов местного самоуправления ЯО" на погашение  кредиторской задолженности в связи со сложившейся экономией от проведенных закупочных процедур </t>
  </si>
  <si>
    <t>Перераспределение ассигнований в связи с уточнением расходов по информационному освещению и подддержки СМИ</t>
  </si>
  <si>
    <t>Перраспределение ассигнований с ОЦП Профилактика правонарушений в ЯО для выполнения  судебных решений по исполнительным листам</t>
  </si>
  <si>
    <t>Перераспределение ассигнований  с ВЦП Обеспечение функционирования ГКУ ЯО Безопасный регион на выполнение судебных решений по исполнительным листам</t>
  </si>
  <si>
    <t>951  Департамент ветеринарии ЯО</t>
  </si>
  <si>
    <t>960 Департамент экономики и стратегического планирования ЯО</t>
  </si>
  <si>
    <t>961 Контрольно-ревизионная инспекция ЯО</t>
  </si>
  <si>
    <t>Перераспределение ассигнований в связи с уточнением расходов по смете</t>
  </si>
  <si>
    <t>963 Департамент дорожного хозяйства ЯО</t>
  </si>
  <si>
    <t>962 Агентство по обеспечению деятельности мировыхх судей ЯО</t>
  </si>
  <si>
    <t xml:space="preserve">Межбюджетные трансферты  
</t>
  </si>
  <si>
    <t xml:space="preserve">Закупка товаров, работ и услуг для обеспечения государственных (муниципальных) нужд </t>
  </si>
  <si>
    <t xml:space="preserve">Межбюджетные трансферты </t>
  </si>
  <si>
    <t xml:space="preserve">Уплата налогов, сборов и иных платежей 
</t>
  </si>
  <si>
    <t xml:space="preserve">Предоставление субсидий бюджетным, автономным учреждениям и иным некоммерческим организациям </t>
  </si>
  <si>
    <t xml:space="preserve">Иные бюджетные ассигнования 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</si>
  <si>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</si>
  <si>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</si>
  <si>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</si>
  <si>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</si>
  <si>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</si>
  <si>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</si>
  <si>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Социальное обеспечение и иные выплаты населению</t>
  </si>
  <si>
    <t xml:space="preserve">Перераспределение ассигнований на департамент дорожного хозяйства ЯО в связи с реорганизацией. Аналогичные изменения произвести в 2019 и 2020 гг в сумме 8 тыс. руб. </t>
  </si>
  <si>
    <t>963  Департамент дорожного хозяйства ЯО</t>
  </si>
  <si>
    <t xml:space="preserve">Комплексная экологическая  реабилитация  озера Неро </t>
  </si>
  <si>
    <t>Перераспределение ассигнований в целях осуществления выплат сокращенным сотрудникам ГБУЗ ЯО "Центр контроля качества и сертификации лекарственных средств"</t>
  </si>
  <si>
    <t>Перераспределение ассигнований государственных казенных образовательных учреждений между видами расходов, в связи с уточнением сметы расходов</t>
  </si>
  <si>
    <t>Перераспределение ассигнований между целевыми статьями бюджетной классификации расходов на подготовку к новому учебному году</t>
  </si>
  <si>
    <t>Перераспределение ассигнований на субвенцию на организацию питания обучающихся образовательных организаций</t>
  </si>
  <si>
    <t xml:space="preserve">Увеличение ассигнований  для обеспечения выплаты компенсации части родительской платы за содержание детей в дошкольных учреждениях </t>
  </si>
  <si>
    <t xml:space="preserve">Увеличение ассигнований на обеспечение достижения показателей, установленных Указом Президента РФ, в части повышения заработной платы работников муниципальных учреждений </t>
  </si>
  <si>
    <t>Увеличение ассигнований на обеспечение достижения показателей, установленных Указом Президента РФ, в части повышения заработной платы работников государственных учреждений культуры</t>
  </si>
  <si>
    <t>Увеличение ассигнований на обеспечение достижения показателей, установленных Указом Президента РФ, в части повышения заработной платы педагогических работников государственных учреждений профобразования</t>
  </si>
  <si>
    <t xml:space="preserve">Региональная программа "Развитие водоснабжения и  водоотведения Ярославской области" 
</t>
  </si>
  <si>
    <t xml:space="preserve">Перераспределение ассигнований на непрограммные расходы для оплаты исполнительных листов по департаменту здравоохранения и фармации Ярославской области </t>
  </si>
  <si>
    <t>Перераспределение ассигнований между видами расходов на проведение ликвидационных мероприятий по ГБУЗ ЯО "Центр контроля качества и сертификации лекарственных средств"</t>
  </si>
  <si>
    <t>Перераспределение ассигнований между кодами бюджетной классификации  в целях погашения кредиторской задолженности учреждений здравоохранения по обязательствам 2017 года по противопожарным мероприятиям, капитальному ремонту, ремонту и обслуживанию высокотехнологичного или дорогостоящего медицинского оборудования.</t>
  </si>
  <si>
    <t xml:space="preserve">Перераспределение ассигнований между кодами бюджетной классификации в связи с уточнением распределения противопожарных мероприятий, капитального ремонта бюджетных и автономных учреждений по видам медицинской помощи </t>
  </si>
  <si>
    <t xml:space="preserve">Перераспределение ассигнований по ГБУЗ ЯО "Переславская ЦРБ" между кодами субсидии для поставки модульного здания инфекционного отделения в соответствии с порученнием Губернатора области в связи с высокой социальной значимостью  объекта </t>
  </si>
  <si>
    <t xml:space="preserve">Увеличение ассигнований на приобретение школьных автобусов </t>
  </si>
  <si>
    <t>Увеличение расходов на предоставление 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</si>
  <si>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 xml:space="preserve">Перераспределение ассигнований по смете казенных учреждений между кодами видами расходов </t>
  </si>
  <si>
    <t xml:space="preserve">Перераспределение ассигнований на реализацию государственного социального заказа на услуги дополнительного образования детей </t>
  </si>
  <si>
    <t xml:space="preserve">Переаспределение ассигнований между кодами видов расходов, целевыми статьями бюджетной классификации для обеспечения выплаты работникам в связи с ликвидацией государственного учреждения </t>
  </si>
  <si>
    <t xml:space="preserve">Перераспределение ассигнований между подразделами и видами бюджетной классификации расходов с целью увеличения субсидии на финансовое обеспечение государственного задания учреждениям среднего профессионального образования </t>
  </si>
  <si>
    <t xml:space="preserve">Перераспределение ассигнований на мероприяития по модернизации технологий и содержания обучения  </t>
  </si>
  <si>
    <t xml:space="preserve">Увеличение ассигнований на финансовое обеспечение государственного задания учреждениям профессионального образования </t>
  </si>
  <si>
    <t xml:space="preserve">Увеличение ассигнований на обеспечение потребности на финансовое обеспечение муниципального задания 
</t>
  </si>
  <si>
    <t xml:space="preserve">Перераспределение ассигнований между муниципальными районами (городскими округами) </t>
  </si>
  <si>
    <t xml:space="preserve">Перераспределение ассигнований между кодами видов бюджетной классификации расходов </t>
  </si>
  <si>
    <t xml:space="preserve"> Перераспределение ассигнований на непрограммные расходы для осуществления возврата в федеральный бюджет средств в связи с недостижением показателя результативности, предусмотренного в соглашении на предоставление субсидии из федерального бюджета на реализацию мероприятий по поддержке молодежного предпринимательства   </t>
  </si>
  <si>
    <t xml:space="preserve">Увеличение ассигнований на организацию и проведение молодежного патриотического форума "Александрова гора" </t>
  </si>
  <si>
    <t>Перераспределение ассигнований по результатам конкурсных процедур</t>
  </si>
  <si>
    <t>Перераспределение ассигнований между муниципальными районами в сумме 1 362,2 тыс.руб. в связи с изменением количества получателей, в т.ч. 701,9 тыс.руб. - средства областного бюджета, 660,3 тыс. руб. - средства федерального бюджета</t>
  </si>
  <si>
    <t xml:space="preserve">Перераспределение ассигнований между муниципальными районами в связи с изменением количества получателей         </t>
  </si>
  <si>
    <t xml:space="preserve">Перераспределение ассигнований между муниципальными районами в связи с изменением количества получателей </t>
  </si>
  <si>
    <t xml:space="preserve">Увеличение ассигнований на проведение работ по капитальному ремонту изолятора и приемно-карантинного отделения ГБУ СО ЯО Шишкинского специального дома-интерната для престарелых и инвалидов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</si>
  <si>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Стационарные учреждения социального обслуживания для граждан пожилого возраста и инвалидов (субсидия на иные цели)</t>
  </si>
  <si>
    <t xml:space="preserve">Перераспределение между кодами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</si>
  <si>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Уменьшение ассигнований в части экономии по результатам проведения конкурсных процедур</t>
  </si>
  <si>
    <t>Увеличение ассигнований на финансовое обеспечение государственного задания</t>
  </si>
  <si>
    <t>Прочие учреждения в сфере социальной политики (ГБУ СО ЯО -  СОЦ "Чайка", "Центр социального обслуживания граждан пожилого возраста и инвалидов")</t>
  </si>
  <si>
    <t>Уменьшение ассигнований в части экономии по результатам конкурсных процедур</t>
  </si>
  <si>
    <t>Увеличение ассигнований в связи с увеличением МРОТ</t>
  </si>
  <si>
    <t>Увеличение ассигнований с целью выполнения мероприятий по централизации бухгалтерского (бюджетного) учета и отчетности</t>
  </si>
  <si>
    <t xml:space="preserve">Перераспределение ассигнований на Правительство области в связи с  уменьшением количества обучающихся профессиональных образовательных организаций - участников лагерей труда и отдыха и трудовых бригад </t>
  </si>
  <si>
    <t xml:space="preserve">Перераспределения ассигнований 56,283 тыс. руб.с департамента образования в связи с уточнением фактического количества детей, , охваченных отдыхом в лагерях с дневной формой пребывания детей в муниципальных районах и городских округах области и 179,676 тыс. руб. с одновременным перераспределением ассигнований между муниципальными районами и городскими округами области.  </t>
  </si>
  <si>
    <t xml:space="preserve">Перераспределение ассгнований между муниципальными образованиями </t>
  </si>
  <si>
    <t xml:space="preserve">Перераспределение ассигнований в связи с необходимостью дополнительного финансирования областного мероприятия "День матери" </t>
  </si>
  <si>
    <t xml:space="preserve">Перераспределение ассигнований на департамент культуры области (1900,0 тыс.руб.), департамент информатизации и связи области (1900,0 тыс.руб.), департамент здравоохранения и фармации области (2035,2 тыс.руб.)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</si>
  <si>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федеральных средств с департамента труда и  социальной поддержки населения (федеральные средства)</t>
  </si>
  <si>
    <t xml:space="preserve">Увеличение ассигнований на реализацию мероприятий программы для оплаты исполнительного листа </t>
  </si>
  <si>
    <t xml:space="preserve">Увеличение ассигнований в части оказания дополнительных мер финансовой поддержки предприятиям общественных организаций инвалидов в виде возмещения затрат на заработную плату трудоустроенных на постоянной основе инвалидов </t>
  </si>
  <si>
    <t>Перераспределение  ассигнований между кодами видов расходов для выплаты получателю пособия на жилищное обустройство</t>
  </si>
  <si>
    <t>Увеличение ассигнований на приобретение огнетушителей, проведение огнезащитной обработки деревянных конструкций в зданиях ГАУК ЯО "Рыбинский музей-заповедник"</t>
  </si>
  <si>
    <t>Перераспределение ассигнований по итогам конкурса на предоставление грантов</t>
  </si>
  <si>
    <t xml:space="preserve">Уменьшение ассигнований в результате экономии по итогам проведения конкурсных процедур                                               </t>
  </si>
  <si>
    <t xml:space="preserve">Перераспределение ассигнований между подгруппами вида расходов </t>
  </si>
  <si>
    <t>Перераспределение ассигнований между кодами видов расходов</t>
  </si>
  <si>
    <t>Перераспределение ассигнований в связи с изменением исполнителя работ по отправке спортсменов на соревнования различного уровня и учебно-тренировочные сборы</t>
  </si>
  <si>
    <t>Перераспределение ассигнований между подразделами по итогам проведения конкурса на предоставление субсидии спортивным некоммерческим организациям</t>
  </si>
  <si>
    <t>Перераспределение ассигнований для награждения призеров и участников зимней олимпиады</t>
  </si>
  <si>
    <t>Перераспределение ассигнований между кодами видов расходов в связи с изменением типа учреждения</t>
  </si>
  <si>
    <t>Увеличение ассигнований на предоставление субсидии Ярославскому муниципальному району на развитие сети плоскостных спортивных сооружений</t>
  </si>
  <si>
    <r>
      <t xml:space="preserve">Увеличение ассигнований 2018 года на строительство напорного канализационного коллектора от МКР-3 до ОСК г. Ростова" (II этап) </t>
    </r>
    <r>
      <rPr>
        <strike/>
        <sz val="12"/>
        <color theme="1"/>
        <rFont val="Times New Roman"/>
        <family val="1"/>
        <charset val="204"/>
      </rPr>
      <t/>
    </r>
  </si>
  <si>
    <t>Уменьшение ассигнований в связи с экономией по результатам конкурсных процедур</t>
  </si>
  <si>
    <t>Перераспределение ассигнований в сумме 5 000 тыс.руб. на департамент охраны окружающей среды и природопользования ЯО в связи с передачей полномочий</t>
  </si>
  <si>
    <t>Перераспределение ассигнований  на департамент охраны окружающей среды и природопользования ЯО в связи с передачей полномочий</t>
  </si>
  <si>
    <t>Увеличение ассигнований для  проведения семинара по социальному волонтерству</t>
  </si>
  <si>
    <t>Перераспределение ассигнований между целевыми статьями в связи с изменением направления расходования средств</t>
  </si>
  <si>
    <t>Перераспределение ассигнований в связи с уточнением мероприятий региональной программы</t>
  </si>
  <si>
    <t xml:space="preserve">Перераспределение ассигнований на непрограммные расходы для погашения кредиторской задолженности в связи со сложившейся экономией от проведенных закупочных процедур </t>
  </si>
  <si>
    <t>Увеличение бюджетных ассигнований для выплаты субсидии на выполнение государственного задания  ГБУ "Электронный регион"  в связи с необходимостью заключить на 2018 год государственный контракт на оказание услуг по техническому сопровождению ИАС Мониторинг</t>
  </si>
  <si>
    <t xml:space="preserve">Перераспределение бюджетных ассигнований с ОЦП развитие сети автомобильных дорог ЯО с субсидии города Ярославлю на реконструкцию моста через р. Которосль в створе Комсомольской площади на содержание автомобильных дорог областной собственности в сумме 388,89 тыс. руб.              </t>
  </si>
  <si>
    <t>Перераспределение ассигнований в сумме 22 000 тыс. руб. с ОЦП развития сети автомобильных дорог субсидии на осуществление бюджетных инвестиций на субсидию на капитальный ремонт дорожных объектов муниципальной собственности (капитальный ремонт моста через реку Солоница в Некрасовском МР)</t>
  </si>
  <si>
    <t>Увеличение ассигнований для обеспечения потребности в средствах областного бюджета</t>
  </si>
  <si>
    <t>Перераспределение ассигнований между мероприятиями программы в целях дополнительной поддержки мероприятий по введению в оборот неиспользуемых земель сельскохозяйственного назначения</t>
  </si>
  <si>
    <t xml:space="preserve">Перераспределение ассигнований между мероприятиями программы </t>
  </si>
  <si>
    <t>Уменьшение ассигнований в связи с изменением формы государственной поддержки в виде предоставления иных межбюджетных трансфертов для возмещения процентной ставки по инвестиционным кредитам</t>
  </si>
  <si>
    <t>Перераспределение ассигнований областного бюджета на иные межбюджетные трансферты для возмещения части процентной ставки по инвестиционным кредитам в связи с изменением формы поддержки из федерального бюджета в целях соблюдения условий софинансирования</t>
  </si>
  <si>
    <t>Перераспределение ассигнований областного бюджета мероприятий по субсидированию процентных ставок по привлеченным кредитам в связи с изменением формы поддержки из федерального бюджета в целях соблюдения условий софинансирования</t>
  </si>
  <si>
    <t>Перераспределение ассигнований на ОЦП "Развитие агропромышленного комплекса Ярославской области" в целях оказания дополнительной поддержки мероприятий по введению в оборот неиспользуемых земель сельскохозяйственного назначения</t>
  </si>
  <si>
    <t>Увеличение ассигнований для соблюдения условий софинансирования</t>
  </si>
  <si>
    <t xml:space="preserve"> Увеличение ассигнований для соблюдения условий софинансирования</t>
  </si>
  <si>
    <t>Перераспределение ассигнований с департамента на сельские поселения в связи с проведением конкурсных процедур, в т.ч. 1039,7 тыс. руб. - средства федерального бюджета, 424.667 тыс.руб. - средства областного бюджета.</t>
  </si>
  <si>
    <t>Перераспределение ассигнований федеральной субвенции на непрограммные расходы в результате защиты проектных корректировок в Федеральном агентстве лесного хозяйства</t>
  </si>
  <si>
    <t xml:space="preserve">Увеличение ассигнований для обновления материально-технической базы
</t>
  </si>
  <si>
    <t>Перераспределение ассигнований между видами расходов в связи с повышением МРОТ для исполнения судебного решения по возмещению вреда, причиненного здоровью гражданина</t>
  </si>
  <si>
    <t>Перераспределение ассигнований на непрограммные расходы департамента ЖКХЭиРТ ЯО для проведения ремонтных работ в здании по адресу г. Ярославль, ул. Чайковского, 42.</t>
  </si>
  <si>
    <t>Увеличение дотации на реализацию мероприятий, предусмотренных нормативно-правовыми актами органов государственной власти Ярославской области</t>
  </si>
  <si>
    <t>Увеличение ассигнований исходя из фактического и планируемого привлечения заемных средств</t>
  </si>
  <si>
    <t>Уменьшение остатка нераспределенной субсидии</t>
  </si>
  <si>
    <t xml:space="preserve">Перераспределение ассигнований в рамках правовой культуры избирателей в свзи с изменением направления расходования средств </t>
  </si>
  <si>
    <t xml:space="preserve">Перераспределение ассигнований для осуществления возврата в федеральный бюджет средств в связи с недостижением показателя результативности, предусмотренного в соглашении на предоставление субсидии из ФБ на реализацию мероприятий по поддержке молодежного предпринимательства    </t>
  </si>
  <si>
    <t>Перераспределение ассигнований для возмещения средств в областной бюджет, взысканных на основании приказа Минфина РФ по результатам проверки использования субсидии из ФБ на развитие физической культуры и спорта</t>
  </si>
  <si>
    <t>Увеличение ассигнований на выплату материальной помощи со смертью бывшего сотрудника</t>
  </si>
  <si>
    <t>Гранты в форме субсидий некоммерческим организациям</t>
  </si>
  <si>
    <t>Перераспределение бюджетных ассигнований  с ВЦП департамента здравоохраненя в целях недопущения снижения производительности  РС ЕГИСЗ ЯО  при возрастающей нагрузке на центр обработки данных (ЦОД), обусловленной тиражированием РС ЕГИСЗ ЯО   в медицинских организациях</t>
  </si>
  <si>
    <t xml:space="preserve">Пояснения </t>
  </si>
  <si>
    <t xml:space="preserve">Перераспределение  ассигнований между подразделами и видами бюджетной классификации расходов с целью выполнения работ по обеспечению противопожарной безопасности в учреждениях </t>
  </si>
  <si>
    <t xml:space="preserve">Перераспределение ассигнований между кодами бюджетной классификации </t>
  </si>
  <si>
    <t>Перераспределение ассигнований   с РП "Государственная поддержка гражданских инициатив и социально ориентированных некоммерческих организаций Ярославской области" по результатам проведения конкурса проектов по оказанию социальных услуг в сфере социального обслуживания на реализацию эксперимента утвержденного постановлением Правительства области от 19.05.2017 №412-п.</t>
  </si>
  <si>
    <t>Перераспределение ассигнований с департамента образования  в связи с увеличением количества детей.</t>
  </si>
  <si>
    <t>Увеличение ассигнованй в связи с увеличением количества обращений за получением компенсации</t>
  </si>
  <si>
    <t>Увеличение ассигнований на стипендии и питание спортсменам</t>
  </si>
  <si>
    <t>Перераспределение ассигнований  на ведомственную целевую программу "Социальная поддержка населения Ярославской области"  по результатам проведения конкурса проектов по оказанию социальных услуг в сфере социального обслуживания населения и в сфере социальной адаптации и интеграции инвалидов в общество</t>
  </si>
  <si>
    <t>Увеличение ассигнований на содержание государственного казенного учреждения Ярославской области "Безопасный регион"</t>
  </si>
  <si>
    <t xml:space="preserve">Увеличение ассигнований на оплату коммунальных услуг </t>
  </si>
  <si>
    <t>Увеличение ассигнований на приобретение компьютеров</t>
  </si>
  <si>
    <t>Увеличение ассигнований на обеспечение деятельности подведомственного учреждения</t>
  </si>
  <si>
    <t xml:space="preserve">Увеличение ассигнований по смете расходов департамента </t>
  </si>
  <si>
    <t>Увеличение ассигнований по смете расходов инспекции</t>
  </si>
  <si>
    <t>Перераспределение ассигнований между муниципальными районами области в связи с уточнением потребности</t>
  </si>
  <si>
    <t>Увеличение ассигнований на почтовые услуги</t>
  </si>
  <si>
    <t>Увеличение ассигнований на  компенсацию расходов за найм жилья</t>
  </si>
  <si>
    <t xml:space="preserve">Увеличение ассигнований на аттестацию рабочих мест </t>
  </si>
  <si>
    <t xml:space="preserve">Увеличение ассигнований для оплаты услуг за предоставление статистической информации </t>
  </si>
  <si>
    <t>Перераспределение ассигнований на финансовое обеспечение государственного задания медицинских учреждений.</t>
  </si>
  <si>
    <t>Перераспределение ассигнований с ВЦП департамента финансов на расходы по смете департамента финансов</t>
  </si>
  <si>
    <t xml:space="preserve">Увеличение ассигнований с целью обеспечения потребности в субсидии </t>
  </si>
  <si>
    <t xml:space="preserve">Увеличение ассигнований для погашения кредиторской задолженности </t>
  </si>
  <si>
    <t>Увеличение ассигнований по смете расходов Правительства области на проведение общественно значимых мероприятий</t>
  </si>
  <si>
    <t>Увеличение ассигнований для проведения противоаварийных работ подвальных помещений в ГУК ЯО "Ярославское художественное училище"</t>
  </si>
  <si>
    <t>Увеличение бюджетных ассигнований  за счет средств федерального бюджета на реконструкцию моста ч/р Которосль в г.Ярославле</t>
  </si>
  <si>
    <t xml:space="preserve">Увеличение ассигнований на содержание муниципальных учреждений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</si>
  <si>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на финансовое обеспечение выполнения государственных заданий  </t>
  </si>
  <si>
    <t xml:space="preserve">Увеличение ассигнований в части кредиторской задолженности за 2017 год </t>
  </si>
  <si>
    <t xml:space="preserve">Увеличение ассигнований на информационную безопасность и защиту информации в связи с реорганизацией бухгалтерского учета </t>
  </si>
  <si>
    <t>01.5</t>
  </si>
  <si>
    <t>Региональная программа "Развитие материально-технической базы детских поликлиник и  детских поликлинических отделений медицинских организаций Ярославской области"</t>
  </si>
  <si>
    <t>Увеличение ассигнований на приобретение средств защиты информации и услуг технической поддержки программно-аппаратных решений по защите информации для проведения аттестации государственных информационных систем</t>
  </si>
  <si>
    <t xml:space="preserve">Увеличение ассигнований государственному бюджетному учреждению "Центр кадастровой оценки, рекламы и торгов" на приобретение специализированного программного обеспечения для проведения государственной кадастровой оценки </t>
  </si>
  <si>
    <t>Увеличение бюджетных ассигнований  за счет средств федерального бюджета на ремонт дорог областной собственности</t>
  </si>
  <si>
    <t xml:space="preserve">Обновление материально-технической базы государственных учреждений лесного хозяйства                                  </t>
  </si>
  <si>
    <t>29.5</t>
  </si>
  <si>
    <t>Увеличение ассигнований в связи с необходимостью софинансирования дополнительно выделенных  средств из федерального бюджета на поддержку творческой деятельности и техническое оснащение детских и кукольных театров</t>
  </si>
  <si>
    <t>Увеличение ассигнований на авиационное обеспечение предупреждения и ликвидации чрезвычайных ситуаций межмуниципального и регионального характера</t>
  </si>
  <si>
    <t>Увеличение ассигнований, направленных на оплату исполнительных листов</t>
  </si>
  <si>
    <t>Увеличение ассигнований на проведение выборов депутатов в Ярославскую областную Думу</t>
  </si>
  <si>
    <t>927 Департамент транспорта  ЯО</t>
  </si>
  <si>
    <t>Субсидия государственным предприятиям на повышение качества оказываемых услуг по водоснабжению и водоотведению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</si>
  <si>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 xml:space="preserve">Увеличение ассигнований на реализацию мероприятий программы </t>
  </si>
  <si>
    <t>05.1</t>
  </si>
  <si>
    <t>08.2</t>
  </si>
  <si>
    <t>Уменьшение ассигнований с целью уточнения суммы софинансирования с федеральным бюджетом</t>
  </si>
  <si>
    <t>24.2</t>
  </si>
  <si>
    <t>24.6</t>
  </si>
  <si>
    <t>36.8</t>
  </si>
  <si>
    <t>Увеличение ассигнований в связи с повышением МРОТ</t>
  </si>
  <si>
    <t xml:space="preserve">Увеличение ассигнований в связи с доведением заработной платы отдельных категорий работников до величины МРОТ 
</t>
  </si>
  <si>
    <t>Увеличение ассигнований на реализацию ремонтных работ</t>
  </si>
  <si>
    <t>Увеличение ассигнований для доведения оплаты труда до уровня МРОТ</t>
  </si>
  <si>
    <t>Уменьшение ассигнований в связи отсутствием потребности</t>
  </si>
  <si>
    <t>Уменьшение ассигнований  в связи отсутствием потребности</t>
  </si>
  <si>
    <t xml:space="preserve">Увеличение ассигнований для заключения договоров аренды </t>
  </si>
  <si>
    <t>Увеличение ассигнований с целью приведения в соответствие с установленными нормативами ФОТ с начислениями</t>
  </si>
  <si>
    <r>
      <t xml:space="preserve"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 </t>
    </r>
    <r>
      <rPr>
        <strike/>
        <sz val="11"/>
        <rFont val="Times New Roman"/>
        <family val="1"/>
        <charset val="204"/>
      </rPr>
      <t xml:space="preserve">
</t>
    </r>
  </si>
  <si>
    <t>Перераспределение ассигнований казенных учреждений между кодами видов расходов для приведения их в соответствие с бюджетной классификацией.  Аналогичные изменения произвести в 2019 - 2020 годах в сумме 95 тыс. руб.</t>
  </si>
  <si>
    <t>Перераспределение ассигнований между задачами в пределах ВЦП. Аналогичные изменения произвести в 2019 - 2020 годах в сумме 4 995,193 тыс. руб.</t>
  </si>
  <si>
    <t>Перераспределение ассигнований между кодами видов расходов в связи с изменением типа учреждения. Аналогичные изменения произвести в 2019-2020 годах в сумме 6 760,6 тыс. руб.</t>
  </si>
  <si>
    <t>Перераспределение ассигнований на департамент имущественных и земельных отношений области в связи с изменением функциональной статьи расходов, целевой статьи и вида расходов. Аналогичные изменения произвести в 2019 и 2020 годах</t>
  </si>
  <si>
    <t xml:space="preserve">Перераспределение ассигнований на департамент дорожного хозяйства ЯО в связи с реорганизацией. Аналогичные изменения произвести в 2019 и 2020 гг в сумме 15 000 тыс. руб. </t>
  </si>
  <si>
    <t>Перераспределение ассигнований на департамент дорожного хозяйства ЯО в связи с реорганизацией. Аналогичные изменения произвести в 2019 г в сумме 339 602 тыс. руб., в 2020 г - в сумме 175 000 тыс. руб.</t>
  </si>
  <si>
    <t>Перераспределение ассигнований на выплаты пенсионерам на департамент дорожного хозяйства области в связи с реорганизацией департамента транспорта. 2019 и 2020 гг. - по 118 тыс.руб.</t>
  </si>
  <si>
    <t>Перераспределение ассигнований на выплаты пенсионерам с департамента транспорта в связи с реорганизацией. 2019 и 2020 гг. - по 118 тыс.руб.</t>
  </si>
  <si>
    <t>Перераспределение ассигнований с департамента транспорта  в связи с  передачей полномочий, 2018 и 2019 гг. по 20 192,418 тыс. руб.</t>
  </si>
  <si>
    <r>
      <t xml:space="preserve">Перераспределение ассигнований в сумме 50 800 тыс. руб. на департамент охраны окружающей среды и природопользования ЯО в связи с передачей полномочий. </t>
    </r>
    <r>
      <rPr>
        <sz val="12"/>
        <rFont val="Times New Roman"/>
        <family val="1"/>
        <charset val="204"/>
      </rPr>
      <t>Аналогичные изменения произвести в 2019 и 2020 годах</t>
    </r>
  </si>
  <si>
    <r>
      <t xml:space="preserve">Перераспределение ассигнований в сумме 50 800 тыс. руб., в т.ч. ОБ - 14 732 т.р., ФБ - 36 068 т.р. с департамента охраны окружающей среды и природопользования ЯО на увеличение уставного капитала ОАО "Скоково".  </t>
    </r>
    <r>
      <rPr>
        <sz val="12"/>
        <rFont val="Times New Roman"/>
        <family val="1"/>
        <charset val="204"/>
      </rPr>
      <t>Аналогичные изменения произвести в 2019 и 2020 годах.</t>
    </r>
  </si>
  <si>
    <r>
      <t xml:space="preserve"> Перераспределение ассигнованийв  в сумме 50 800 тыс. руб. на департамент охраны окружающей среды и природопользования ЯО в связи с передачей полномочий. </t>
    </r>
    <r>
      <rPr>
        <sz val="12"/>
        <rFont val="Times New Roman"/>
        <family val="1"/>
        <charset val="204"/>
      </rPr>
      <t>Аналогичные изменения произвести в 2019 и 2020 годах</t>
    </r>
  </si>
  <si>
    <r>
      <t xml:space="preserve">Перераспределение ассигнований на департамент дорожного хозяйства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г в сумме 2 851 099,6 тыс. руб., в 2020 г - в сумме 3 166 831,2 тыс. руб.</t>
    </r>
  </si>
  <si>
    <r>
      <t xml:space="preserve">Перераспределение ассигнований на департамент дорожного хозяйства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и 2020 гг в сумме 6 740 тыс. руб.</t>
    </r>
  </si>
  <si>
    <r>
      <t xml:space="preserve">Перераспределение ассигнований на департамент дорожного хозяйства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и 2020 гг в сумме 71 360,4 тыс. руб.</t>
    </r>
  </si>
  <si>
    <r>
      <t xml:space="preserve">Перераспределение ассигнований с департамента транспорта ЯО в связи с реорганизацией.  </t>
    </r>
    <r>
      <rPr>
        <sz val="12"/>
        <rFont val="Times New Roman"/>
        <family val="1"/>
        <charset val="204"/>
      </rPr>
      <t xml:space="preserve">Аналогичные изменения произвести в 2019 и 2020 гг в сумме 8 тыс. руб. </t>
    </r>
  </si>
  <si>
    <r>
      <t xml:space="preserve">Перераспределение ассигнований с департамента транспорта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г в сумме 2 851 099,6 тыс. руб., в 2020 г - в сумме 3 166 831,2 тыс. руб.</t>
    </r>
  </si>
  <si>
    <r>
      <t xml:space="preserve">Перераспределение ассигнований с департамента транспорта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и 2020 гг в сумме 6 740 тыс. руб.</t>
    </r>
  </si>
  <si>
    <r>
      <t xml:space="preserve">Перераспределение ассигнований с департамента транспорта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и 2020 гг в сумме 71 360,4 тыс. руб.</t>
    </r>
  </si>
  <si>
    <r>
      <t xml:space="preserve">Перераспределение ассигнований в сумме 930 000 тыс. руб., в т.ч. за счет средств ФБ - 730 000 тыс. руб. на департамент дорожного хозяйства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и 2020 гг в сумме 200 000 тыс. руб. за счет средств ОБ.</t>
    </r>
  </si>
  <si>
    <r>
      <t xml:space="preserve">Перераспределение ассигнований в сумме 50 865,3 тыс. руб., в т.ч. за счет средств ОБ - 21 518,5 тыс. руб., за счет средств ФБ - 29 346,8 тыс. руб. на департамент дорожного хозяйства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г в сумме 312 071,2 тыс. руб., в 2020 г - в сумме 325 248,1 тыс. руб. за счет средст ФБ.</t>
    </r>
  </si>
  <si>
    <r>
      <t xml:space="preserve">Перераспределение ассигнований в сумме 50 865,3 тыс. руб., в т.ч. за счет средств ОБ - 21 518,5 тыс. руб., за счет средств ФБ - 29 346,8 тыс. руб. с департамента транспорта ЯО в связи с реорганизацией. </t>
    </r>
    <r>
      <rPr>
        <sz val="12"/>
        <rFont val="Times New Roman"/>
        <family val="1"/>
        <charset val="204"/>
      </rPr>
      <t>Аналогичные изменения произвести в 2019 г в сумме 312 071,2 тыс. руб., в 2020 г - в сумме 325 248,1 тыс. руб. за счет средст ФБ.</t>
    </r>
  </si>
  <si>
    <r>
      <t xml:space="preserve">Перераспределение ассигнований на департамент дорожного хозяйства в связи с реорганизацией и передачей полномочий, </t>
    </r>
    <r>
      <rPr>
        <sz val="12"/>
        <rFont val="Times New Roman"/>
        <family val="1"/>
        <charset val="204"/>
      </rPr>
      <t>2018 и 2019 гг. по 20 192,418 тыс. руб.</t>
    </r>
  </si>
  <si>
    <t>Уменьшение ассигнований на предоставление субсидии в связи с уточнением потребности</t>
  </si>
  <si>
    <t xml:space="preserve"> Увеличение ассигнований  ГБУ СО ЯО СОЦ "Чайка" на устройство водозаборной скважины для обеспечения водоснабжения учреждения в соответствии с санитарными нормами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</si>
  <si>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Прочие учреждения в сфере социальной политики (ГБУ СО ЯО -  СОЦ "Чайка", "Центр социального обслуживания граждан пожилого возраста и инвалидов"), субсидия на иные цели</t>
  </si>
  <si>
    <t xml:space="preserve">Увеличение ассигнований на техническое и информационное сопровождение государственного ресурса ведомственной информационной системы "Единый социальный регистр населения Ярославской области"  в связи с погашением кредиторской задолженности за 2017 год </t>
  </si>
  <si>
    <t xml:space="preserve">Увеличение ассигнований на текущее содержание центров занятости населения в связи с погашением кредиторской задолженности за 2017 год
</t>
  </si>
  <si>
    <r>
      <t xml:space="preserve">Увеличение ассигнований на проведение Года добровольца (волонтера) в соответствии с Указом Президента РФ  
</t>
    </r>
    <r>
      <rPr>
        <u/>
        <sz val="12"/>
        <rFont val="Times New Roman"/>
        <family val="1"/>
        <charset val="204"/>
      </rPr>
      <t xml:space="preserve">
</t>
    </r>
  </si>
  <si>
    <t>Увеличение ассигнований в соответствии с распоряжением Правительства Российской Федерации от 3 марта 2018 года № 369-р на приобретение модульных конструкций врачебных амбулаторий, фельдшерских и фельдшерско-акушерских пунктов для населенных пунктов с численностью населения от 101 до 2000 человек</t>
  </si>
  <si>
    <t>Увеличение ассигнований в соответствии с распоряжением Правительства Российской Федерации от 3 марта 2018 года № 370-р на приобретение передвижных медицинских комплексов для оказания медицинской помощи жителям населенных пунктов с численностью населения до 100 человек</t>
  </si>
  <si>
    <t>Увеличение ассигнований в соответствии с распоряжением Правительства Российской Федерации от 15 марта 2018 года № 428-р на реализацию отдельных полномочий в области лекарственного обеспечения</t>
  </si>
  <si>
    <t>Увеличение ассигнований в соответствии с распоряжением Правительства Российской Федерации от 15 марта 2018 года № 427-р на обеспечение необходимыми лекарственными препаратами, включая обезболивающие, организацию мониторинга оказания паллиативной медицинской помощи взрослому населению и детям, обеспечение медицинских организаций, оказывающих паллиативную медицинскую помощь, медицинскими
изделиями</t>
  </si>
  <si>
    <t>Увеличение ассигнований в соответствии с распоряжением Правительства Российской Федерации от 3 марта 2018 года № 368-р на дооснащение детских поликлиник и детских поликлинических отделений медицинских организаций медицинскими изделиями</t>
  </si>
  <si>
    <t>Перераспределение  ассигнований между кодами видов расходов для оплаты просроченной кредиторской задолженности на 01.02.2018   по текущему содержанию центров занятости</t>
  </si>
  <si>
    <t>Увеличение ассигнований на кредиторскую задолженность 2017 года по государственной автоматизированной системе Выборы</t>
  </si>
  <si>
    <t>Увеличение ассигнований на кредиторскую задолженность 2017 года по содержанию аппарата избирательной комиссии</t>
  </si>
  <si>
    <t>Увеличение ассигнований в соответствии с распоряжением Правительства РФ от 12.04.2018 № 659-р в целях внедрения в 2018 году медицинских информационных систем, соответствующих установленным Минздравом РФ требованиям, в медицинских организациях, оказывающих первичную медико-санитарную помощь</t>
  </si>
  <si>
    <t>Увеличение ассигнований по ГКУЗ ЯО "Резерв" в связи с заключением контракта с Управлением Росрезерва по ЦФО на хранение мобилизационного резерва</t>
  </si>
  <si>
    <t xml:space="preserve">Увеличение ассигнований в целях заключения контрактов на поставку лекарственных средств льготным категориям граждан в связи с погашением кредиторской задолженности за 2017 год. Увеличение ассигнований в 2019 году - 1 млрд. руб. </t>
  </si>
  <si>
    <t xml:space="preserve">Увеличение ассигнований для проведения капитального ремонта зданий ГБУЗ ЯО "Клиническая больница № 1" в целях создания многопрофильного стационарно-поликлинического комплекса </t>
  </si>
  <si>
    <t>Увеличение ассигнований в целях обеспечения исполнения показателей "дорожной карты" по повышению оплаты труда отдельных категорий работников</t>
  </si>
  <si>
    <t>Региональная программа "Стимулирование развития жилищного строительства на территории Ярославской области"</t>
  </si>
  <si>
    <t xml:space="preserve">Увеличение ассигнований за счет средств из резервного фонда Президента РФ на финансирование мероприятий по переселению граждан из признанных аварийными и подлежащими реконструкции многоквартирных домов, расположенных в границах территории объекта культурного наследия регионального значения "Ансамбль Богоявленского монастыря, 689 г. – нач. ХХ в." г. Углич
</t>
  </si>
  <si>
    <t xml:space="preserve">Перераспределение бюджетных ассигнований за счет средств федеральной субвенции с Правительства области на исполнение государственных полномочий РФ на государственную регистрацию актов гражданского состояния в целях технической поддержки информационных систем "Находка-ЗАГС ГМП", "Находка-ЗАГС Портал", "Находка-ЗАГС СМЭВ" </t>
  </si>
  <si>
    <t>Перераспределение средств субвенции на ДИС (ГБУ ЯО "Электронный регион" ) для технической поддержки государственных информационных систем "Находка-ЗАГС  ГМП", "Находка-ЗАГС Портал", "Находка-ЗАГС СМЭВ"</t>
  </si>
  <si>
    <t>Увеличение ассигнований на проведение противопожарных мероприятий в рамках субсидии на иные цели в связи с погашением кредиторской задолженности за 2017 год</t>
  </si>
  <si>
    <t>Увеличение ассигнований на проведение ремонта и обслуживание высокотехнологичного или дорогостоящего медицинского оборудования, вышедшего из строя, в рамках субсидии на иные цели в связи с погашением кредиторской задолженности за 2017 год</t>
  </si>
  <si>
    <t>Увеличение ассигнований на погашение кредиторской задолженности  по обязательствам 2017 года перед медицинскими организациями по субсидиям на финансовое обеспечение государственного задания</t>
  </si>
  <si>
    <t>Увеличение ассигнований в целях финансирования расходного обязательства по развитию материально-технической базы детских поликлинник и детских поликлинических отделений медицинских организаций, которое софинансируется из федерального бюджета в соответствии с распоряжением Правительства Российской Федерации от 3 марта 2018 года № 368-р</t>
  </si>
  <si>
    <t>Увеличение ассигнований на капитальный ремонт муниципального бюджетного учреждения дополнительного образования детей детский оздоровительно-образовательный центр "Соть" Даниловского муниципального района на основании распоряжения Президента РФ от 28.12.2017 № 462-рп "О выделении в 2018 году из резервного фонда Президента Российской Федерации денежных средств "</t>
  </si>
  <si>
    <t xml:space="preserve">Увеличение ассигнований на приобретение учебников для общеобразовательных школ Ярославской области </t>
  </si>
  <si>
    <t>Увеличение ассигнований на ремонт крыши спального корпуса в ГОБУ ЯО "Ярославская школа-интернат № 6"</t>
  </si>
  <si>
    <t>Детские сады</t>
  </si>
  <si>
    <t xml:space="preserve">Ясли  </t>
  </si>
  <si>
    <t>Уменьшение ассигнований по итогам проведения конкурсных процедур при заключении контрактов</t>
  </si>
  <si>
    <t xml:space="preserve">Увеличение ассигнований на обеспечение деятельности органов местного самоуправления в сфере социальной защиты на услуги связи, коммунальные расходы, информационное обеспечение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</si>
  <si>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в соответствии с  постановлением Правления Пенсионного Фонда РФ от 21.02.2018 № 64п  и от 22.03.2018 № 128п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</si>
  <si>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в соответствии с  постановлением Правления Пенсионного Фонда РФ от 21.02.2018 № 64п , от 22.03.2018 № 128п, 
от 20.04.2018 №212п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</si>
  <si>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 в целях погашения  кредиторской задолженности за 2017 год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</si>
  <si>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 в соответствии с приказами Федерального Медико-Биологического Агентства России от 05.02.2018 № 22 и от 22.02.2018 № 33 </t>
  </si>
  <si>
    <t>Стационарные учреждения социального обслуживания для граждан пожилого возраста и инвалидов</t>
  </si>
  <si>
    <t>Увеличение ассигнований на осуществление деятельности казенных учреждений.
Уменьшение ассигнований в части экономии по результатам конкурсных процедур</t>
  </si>
  <si>
    <t>Прочие учреждения в сфере социальной политики (ГКУ СО ЯО - СРЦ для несовершеннолетних)</t>
  </si>
  <si>
    <t xml:space="preserve">Увеличение ассигнований в связи с необходимостью доработки государственного ресурса ведомственной информационной системы "Единый социальный регистр населения Ярославской области" в целях взаимодействия с государственной информационной системой жилищно-коммунального хозяйства и государственной информационной системой социального обслуживания </t>
  </si>
  <si>
    <t xml:space="preserve">Увеличение ассигнований  на реализацию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социально-медицинской услуги сиделок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</si>
  <si>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на строительство спального корпуса бурмакинского психоневрологического интерната (корректировка проектной документации)</t>
  </si>
  <si>
    <t>Увеличение ассигнований на 2019 год в сумме 35 000,0 тыс. руб.  с целью обеспечения софинансирования с федеральными средствами</t>
  </si>
  <si>
    <t>Активная политика занятости населения (профессиональное обучение безработных граждан)</t>
  </si>
  <si>
    <t>Увеличение ассигнований на профессиональное обучение безработных граждан в связи с погашением кредиторской задолженности за 2017 год</t>
  </si>
  <si>
    <t xml:space="preserve">Увеличение ассигнований на обеспечение деятельности государственного бюджетного учреждения Ярославской области "Пожарно-спасательная служба Ярославской области" (приобретение ГСМ, вещевого имущества, ремонт автотранспорта, обязательное страхование пожарных объектов и работников) </t>
  </si>
  <si>
    <t xml:space="preserve">Увеличение ассигнований для завершения строительства объекта "Берегоукрепление правого берега р. Волга. Ярославская область, г. Рыбинск, участок от "Обелиска" до ДС "Полет". Этап 1 – берегоукрепительные работы (устройство берегоукрепительного сооружения)"
</t>
  </si>
  <si>
    <t>Уменьшение ассигнований 2018 года в связи с оплатой контракта на корректировку проекта в 2019 году. Увеличение ассигнований в 2019 году на 34 000,0 тыс. руб.</t>
  </si>
  <si>
    <t>Увеличение ассигнований  в целях проведения мероприятий по обеспечению бесперебойного предоставления потребителям Ярославской области услуг по водоснабжению и водоотведению нормативного качества</t>
  </si>
  <si>
    <t>Уменьшение ассигнований в связи с экономией, сложившейся по результатам конкурсных процедур в отдельных муниципальных образованиях Ярославской области, и уточнения сметной стоимости объектов</t>
  </si>
  <si>
    <t>Увеличение ассигнований для обучения компьютерной грамотности неработающих пенсионеров</t>
  </si>
  <si>
    <t>Увеличение бюджетных ассигнований для перечисления  субсидии на иные цели ГБУ "Электронный регион"  в связи с необходимостью заключить с территориальным органом Росстат на один год государственный контракт на оказание информационных услуг по предоставлению статистической информации, а также сопутствующих услуг, связанных с информационным обеспечением</t>
  </si>
  <si>
    <t>Увеличение бюджетных ассигнований за счет средств федерального бюджета на ремонт улично-дорожной сети г. Рыбинска</t>
  </si>
  <si>
    <t>Увеличение бюджетных ассигнований на реконструкцию моста через Которосль в г.Ярославле</t>
  </si>
  <si>
    <t>Увеличение ассигнований  для обеспечения потребности по заявкам от муниципальных образований</t>
  </si>
  <si>
    <t xml:space="preserve">Увеличение ассигнований бюджету города Ярославля для продолжения ремонта запланированных объектов в рамках заключенного соглашения с Федеральным дорожным агенством по развитию транспортной инфраструктуры городской агломерации "Ярославская" </t>
  </si>
  <si>
    <t>Субсидия на мероприятия по улучшению жилищных условий граждан, проживающих в сельской местности</t>
  </si>
  <si>
    <t>Уменьшение ассигнований в 2019 и 2020 годах в сумме 5 285,867 тыс. руб. ежегодно</t>
  </si>
  <si>
    <t>Увеличение ассигнований на проведение дополнительных общестроительных и реставрационных работ в филиале государственного автономного учреждения Ярославской области "Многофункциональный центр предоставления государственных и муниципальных услуг" в Ростовском муниципальном районе</t>
  </si>
  <si>
    <t>Увеличение ассигнований на реализацию проекта по проведению Дней бесплатной юридической помощи</t>
  </si>
  <si>
    <t>Увеличение ассигнований на оплату найма жилья помещения</t>
  </si>
  <si>
    <t xml:space="preserve">Увеличение ассигнований в соответствии с постановлением Правительства Московской области от 13.02.2018 № 89/6 на оказание мер социальной поддержки семьям граждан, погибших в результате авиационной катастрофы самолета АН-148, произошедшей 11.02.2018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</si>
  <si>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на погашение кредиторской задолженности за 2017 год</t>
  </si>
  <si>
    <t xml:space="preserve">Уменьшение ассигнований в связи с приведением в соответствие с установленными нормативами ФОТ за счет увеличения средств федерального бюджета. Аналогичные изменения предусмотрены в 2019 и 2020 годах  </t>
  </si>
  <si>
    <t>Увеличение ассигнований в связи с передачей части полномочий с департамента охраны окружающей среды и природопользования ЯО. Аналогичные изменения предусмотрены в 2019 и 2020 годах в сумме 1 656,0 тыс. руб.</t>
  </si>
  <si>
    <t>Увеличение ассигнований КУ ЯО Учреждения по содержанию и эксплуатации административных зданий для благоустройства дворовой территории здания Ярославской областной Думы (Советская пл., д.1/19)</t>
  </si>
  <si>
    <t>Увеличение ассигнований на закупку горюче-смазочных материалов</t>
  </si>
  <si>
    <t xml:space="preserve">Увеличение бюджетных ассигнований в связи с увеличением МРОТ </t>
  </si>
  <si>
    <t xml:space="preserve">Увеличение ассигнований для возмещения расходов по найму жилья и обеспечения информационной безопасности 2-х рабочих мест </t>
  </si>
  <si>
    <t>Увеличение ассигнований в связи с восстановлением ассигнований, израсходованных на погашение кредиторской задолженности за 2017 год</t>
  </si>
  <si>
    <t>Увеличение ассигнований на дополнительное обучение по защите информации в сумме 100,0 тыс. руб., аттестацию и информационных систем персональных данных - 285,14 тыс. руб.</t>
  </si>
  <si>
    <t xml:space="preserve">Уменьшение ассигнований для приведения в соответствие ФОТ за счет увеличения средств федеральной субвенции. Аналогичные изменения предусмотрены в 2019 и 2020 годах </t>
  </si>
  <si>
    <t>Увеличение ассигнований в связи с передачей части полномочий с департамента информатизации и связи ЯО и с департамента жилищно-коммунального хозяйства, энергетики и регулирования тарифов ЯО. Аналогичные изменения предусмотрены в 2019 и 2020 годах в сумме 2 176,0 тыс. руб. ежегодно</t>
  </si>
  <si>
    <t>Увеличение ассигнований на ФОТ с начислениями в связи с передачей части полномочий с Правительства Ярославской области. Аналогичные расходы предусмотрены в 2019 и 2020 годах</t>
  </si>
  <si>
    <t xml:space="preserve">Увеличение ассигнований для проведения аттестации 7 рабочих мест в связи с изменением полномочий и передачей функций бухгалтерского учета </t>
  </si>
  <si>
    <t>Увеличение ассигнований на заключение государственных контрактов до конца года: Почта России - 2 400,0 тыс. руб., Городская курьерская служба -
3 300,0 тыс. руб., для оплаты расходов за изготовление бланков исполнительных листов АО "Госзнак" - 1 115,1 тыс. руб.</t>
  </si>
  <si>
    <t xml:space="preserve">Увеличение ассигнований в сумме  26 597,183  тыс. руб., в том числе:                            - строительство детского сада в г. Данилове в сумме  4 369,676 тыс. руб. на приобретение технологического оборудования.  Ввод объекта в 2018 году;
- строительство детского сада  в г. Угличе  в сумме  19 892,732 тыс. руб. на завершение строительства. Ввод объекта - 30.06.2018;                                                                                                   
- строительство детского сада в пос. Михайловском Ярославского муниципального района в сумме 1 900,000 тыс. руб. для  заключения государственного контракта в 2018 году. В 2019 году уменьшение ассигнований в сумме 1 900,000 тыс. руб.  
- по объекту "Строительство детского сада  в года Пошехонье":                                                           увеличение  ассигнований в сумме 434,775 тыс. руб. для оплаты  обязательств 2017 года по исполненному государственному контракту за подготовку и экспертизу проектно-сметной документации                                                                                                                                                                                                      
</t>
  </si>
  <si>
    <r>
      <t xml:space="preserve">Увеличение  ассигнований с целью обеспечения софинансирования  мероприятий  по созданию в муниципальных образованиях Ярославской области дополнительных мест для детей в возрасте от 2 месяцев до 3 лет и заключения соглашения между Минобрнауки России и Правительством Ярославской области.   
В </t>
    </r>
    <r>
      <rPr>
        <sz val="12"/>
        <rFont val="Times New Roman"/>
        <family val="1"/>
        <charset val="204"/>
      </rPr>
      <t xml:space="preserve">2019 году - увеличение ассигнований за счет средств федерального бюджета в сумме  265 656 200 руб., за счет средств областного бюджета в сумме    
108 507,5 тыс. руб.  
</t>
    </r>
  </si>
  <si>
    <t>Уменьшение ассигнований в связи с передачей части полномочий в департамент охраны окружающей среды и природопользования ЯО. Аналогичные изменения предусмотрены в 2019 и 2020 годах в сумме 
728,0 тыс. руб.</t>
  </si>
  <si>
    <t xml:space="preserve">Уменьшение ассигнований в связи с передачей части полномочий в департамент охраны окружающей среды и природопользования ЯО. Аналогичные изменения предусмотрены в 2019 и 2020 годах в сумме 
3 191,0 тыс.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</si>
</sst>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"/>
    <numFmt numFmtId="167" formatCode="0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trike/>
      <sz val="12"/>
      <color theme="1"/>
      <name val="Times New Roman"/>
      <family val="1"/>
      <charset val="204"/>
    </font>
    <font>
      <i/>
      <strike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trike/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11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3" fontId="14" fillId="2" borderId="1" xfId="0" applyNumberFormat="1" applyFont="1" applyFill="1" applyBorder="1" applyAlignment="1" applyProtection="1">
      <alignment horizontal="right"/>
    </xf>
    <xf numFmtId="0" fontId="14" fillId="2" borderId="1" xfId="3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14" fillId="2" borderId="1" xfId="3" applyNumberFormat="1" applyFont="1" applyFill="1" applyBorder="1" applyAlignment="1" applyProtection="1">
      <alignment horizontal="right" wrapText="1"/>
      <protection hidden="1"/>
    </xf>
    <xf numFmtId="3" fontId="14" fillId="2" borderId="1" xfId="0" applyNumberFormat="1" applyFont="1" applyFill="1" applyBorder="1" applyAlignment="1" applyProtection="1">
      <alignment horizontal="right" wrapText="1"/>
      <protection hidden="1"/>
    </xf>
    <xf numFmtId="3" fontId="14" fillId="2" borderId="1" xfId="0" applyNumberFormat="1" applyFont="1" applyFill="1" applyBorder="1" applyAlignment="1" applyProtection="1">
      <alignment horizontal="right"/>
      <protection hidden="1"/>
    </xf>
    <xf numFmtId="3" fontId="15" fillId="2" borderId="1" xfId="0" applyNumberFormat="1" applyFont="1" applyFill="1" applyBorder="1" applyAlignment="1">
      <alignment horizontal="right"/>
    </xf>
    <xf numFmtId="3" fontId="15" fillId="2" borderId="1" xfId="3" applyNumberFormat="1" applyFont="1" applyFill="1" applyBorder="1" applyAlignment="1" applyProtection="1">
      <alignment horizontal="right" wrapText="1"/>
      <protection hidden="1"/>
    </xf>
    <xf numFmtId="3" fontId="14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3" fontId="22" fillId="2" borderId="1" xfId="0" applyNumberFormat="1" applyFont="1" applyFill="1" applyBorder="1" applyAlignment="1">
      <alignment horizontal="right"/>
    </xf>
    <xf numFmtId="49" fontId="22" fillId="2" borderId="1" xfId="5" applyNumberFormat="1" applyFont="1" applyFill="1" applyBorder="1" applyAlignment="1">
      <alignment horizontal="left" vertical="top" wrapText="1"/>
    </xf>
    <xf numFmtId="3" fontId="22" fillId="2" borderId="1" xfId="3" applyNumberFormat="1" applyFont="1" applyFill="1" applyBorder="1" applyAlignment="1" applyProtection="1">
      <alignment horizontal="right" wrapText="1"/>
      <protection hidden="1"/>
    </xf>
    <xf numFmtId="3" fontId="23" fillId="2" borderId="1" xfId="3" applyNumberFormat="1" applyFont="1" applyFill="1" applyBorder="1" applyAlignment="1" applyProtection="1">
      <alignment horizontal="right" wrapText="1"/>
      <protection hidden="1"/>
    </xf>
    <xf numFmtId="0" fontId="22" fillId="2" borderId="1" xfId="0" applyNumberFormat="1" applyFont="1" applyFill="1" applyBorder="1" applyAlignment="1" applyProtection="1">
      <alignment horizontal="left" vertical="top" wrapText="1"/>
      <protection hidden="1"/>
    </xf>
    <xf numFmtId="3" fontId="28" fillId="2" borderId="1" xfId="0" applyNumberFormat="1" applyFont="1" applyFill="1" applyBorder="1" applyAlignment="1" applyProtection="1">
      <alignment horizontal="right" wrapText="1"/>
      <protection hidden="1"/>
    </xf>
    <xf numFmtId="3" fontId="22" fillId="2" borderId="1" xfId="0" applyNumberFormat="1" applyFont="1" applyFill="1" applyBorder="1" applyAlignment="1" applyProtection="1">
      <alignment horizontal="right" wrapText="1"/>
      <protection hidden="1"/>
    </xf>
    <xf numFmtId="3" fontId="14" fillId="2" borderId="1" xfId="6" applyNumberFormat="1" applyFont="1" applyFill="1" applyBorder="1" applyAlignment="1">
      <alignment horizontal="right"/>
    </xf>
    <xf numFmtId="3" fontId="15" fillId="2" borderId="1" xfId="0" applyNumberFormat="1" applyFont="1" applyFill="1" applyBorder="1" applyAlignment="1" applyProtection="1">
      <alignment horizontal="right"/>
    </xf>
    <xf numFmtId="0" fontId="13" fillId="2" borderId="1" xfId="0" applyFont="1" applyFill="1" applyBorder="1" applyAlignment="1"/>
    <xf numFmtId="0" fontId="13" fillId="2" borderId="1" xfId="0" applyFont="1" applyFill="1" applyBorder="1"/>
    <xf numFmtId="3" fontId="31" fillId="2" borderId="1" xfId="0" applyNumberFormat="1" applyFont="1" applyFill="1" applyBorder="1" applyAlignment="1">
      <alignment horizontal="right"/>
    </xf>
    <xf numFmtId="0" fontId="13" fillId="2" borderId="0" xfId="0" applyFont="1" applyFill="1"/>
    <xf numFmtId="3" fontId="29" fillId="2" borderId="1" xfId="3" applyNumberFormat="1" applyFont="1" applyFill="1" applyBorder="1" applyAlignment="1" applyProtection="1">
      <alignment horizontal="right" wrapText="1"/>
      <protection hidden="1"/>
    </xf>
    <xf numFmtId="3" fontId="28" fillId="2" borderId="1" xfId="3" applyNumberFormat="1" applyFont="1" applyFill="1" applyBorder="1" applyAlignment="1" applyProtection="1">
      <alignment horizontal="right" wrapText="1"/>
      <protection hidden="1"/>
    </xf>
    <xf numFmtId="3" fontId="21" fillId="2" borderId="1" xfId="0" applyNumberFormat="1" applyFont="1" applyFill="1" applyBorder="1" applyAlignment="1">
      <alignment horizontal="right"/>
    </xf>
    <xf numFmtId="3" fontId="13" fillId="2" borderId="0" xfId="0" applyNumberFormat="1" applyFont="1" applyFill="1"/>
    <xf numFmtId="0" fontId="22" fillId="2" borderId="1" xfId="0" applyNumberFormat="1" applyFont="1" applyFill="1" applyBorder="1" applyAlignment="1">
      <alignment horizontal="right"/>
    </xf>
    <xf numFmtId="0" fontId="26" fillId="2" borderId="1" xfId="3" applyNumberFormat="1" applyFont="1" applyFill="1" applyBorder="1" applyAlignment="1" applyProtection="1">
      <alignment horizontal="left" vertical="top" wrapText="1"/>
      <protection hidden="1"/>
    </xf>
    <xf numFmtId="3" fontId="26" fillId="2" borderId="1" xfId="3" applyNumberFormat="1" applyFont="1" applyFill="1" applyBorder="1" applyAlignment="1" applyProtection="1">
      <alignment horizontal="left" vertical="top" wrapText="1"/>
      <protection hidden="1"/>
    </xf>
    <xf numFmtId="49" fontId="20" fillId="2" borderId="1" xfId="4" applyNumberFormat="1" applyFont="1" applyFill="1" applyBorder="1" applyAlignment="1" applyProtection="1">
      <alignment horizontal="center" wrapText="1"/>
      <protection hidden="1"/>
    </xf>
    <xf numFmtId="0" fontId="20" fillId="2" borderId="1" xfId="3" applyNumberFormat="1" applyFont="1" applyFill="1" applyBorder="1" applyAlignment="1" applyProtection="1">
      <alignment horizontal="left" vertical="top" wrapText="1"/>
      <protection hidden="1"/>
    </xf>
    <xf numFmtId="49" fontId="20" fillId="2" borderId="1" xfId="4" applyNumberFormat="1" applyFont="1" applyFill="1" applyBorder="1" applyAlignment="1" applyProtection="1">
      <alignment horizontal="center" vertical="top" wrapText="1"/>
      <protection hidden="1"/>
    </xf>
    <xf numFmtId="0" fontId="25" fillId="2" borderId="1" xfId="8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 applyProtection="1">
      <alignment horizontal="left" vertical="top" wrapText="1"/>
      <protection hidden="1"/>
    </xf>
    <xf numFmtId="0" fontId="26" fillId="2" borderId="1" xfId="0" applyFont="1" applyFill="1" applyBorder="1" applyAlignment="1" applyProtection="1">
      <alignment horizontal="left" vertical="top" wrapText="1"/>
      <protection hidden="1"/>
    </xf>
    <xf numFmtId="0" fontId="25" fillId="2" borderId="1" xfId="0" applyNumberFormat="1" applyFont="1" applyFill="1" applyBorder="1" applyAlignment="1" applyProtection="1">
      <alignment horizontal="left" vertical="top" wrapText="1"/>
      <protection hidden="1"/>
    </xf>
    <xf numFmtId="0" fontId="25" fillId="2" borderId="1" xfId="3" applyNumberFormat="1" applyFont="1" applyFill="1" applyBorder="1" applyAlignment="1" applyProtection="1">
      <alignment horizontal="left" vertical="top" wrapText="1"/>
      <protection hidden="1"/>
    </xf>
    <xf numFmtId="49" fontId="35" fillId="2" borderId="1" xfId="4" applyNumberFormat="1" applyFont="1" applyFill="1" applyBorder="1" applyAlignment="1" applyProtection="1">
      <alignment horizontal="center" wrapText="1"/>
      <protection hidden="1"/>
    </xf>
    <xf numFmtId="0" fontId="25" fillId="2" borderId="1" xfId="0" applyFont="1" applyFill="1" applyBorder="1" applyAlignment="1">
      <alignment horizontal="left" vertical="top" wrapText="1"/>
    </xf>
    <xf numFmtId="0" fontId="26" fillId="2" borderId="1" xfId="2" applyNumberFormat="1" applyFont="1" applyFill="1" applyBorder="1" applyAlignment="1" applyProtection="1">
      <alignment horizontal="left" vertical="top" wrapText="1"/>
      <protection hidden="1"/>
    </xf>
    <xf numFmtId="49" fontId="25" fillId="2" borderId="1" xfId="3" applyNumberFormat="1" applyFont="1" applyFill="1" applyBorder="1" applyAlignment="1" applyProtection="1">
      <alignment horizontal="left" vertical="top" wrapText="1"/>
      <protection hidden="1"/>
    </xf>
    <xf numFmtId="0" fontId="25" fillId="2" borderId="1" xfId="5" applyNumberFormat="1" applyFont="1" applyFill="1" applyBorder="1" applyAlignment="1" applyProtection="1">
      <alignment horizontal="left" vertical="top" wrapText="1"/>
      <protection hidden="1"/>
    </xf>
    <xf numFmtId="0" fontId="25" fillId="2" borderId="1" xfId="0" applyFont="1" applyFill="1" applyBorder="1" applyAlignment="1" applyProtection="1">
      <alignment horizontal="left" vertical="top" wrapText="1"/>
      <protection hidden="1"/>
    </xf>
    <xf numFmtId="0" fontId="25" fillId="2" borderId="1" xfId="0" applyFont="1" applyFill="1" applyBorder="1" applyAlignment="1">
      <alignment vertical="top" wrapText="1"/>
    </xf>
    <xf numFmtId="0" fontId="26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8" applyNumberFormat="1" applyFont="1" applyFill="1" applyBorder="1" applyAlignment="1" applyProtection="1">
      <alignment horizontal="left" vertical="top" wrapText="1"/>
      <protection hidden="1"/>
    </xf>
    <xf numFmtId="0" fontId="26" fillId="2" borderId="1" xfId="9" applyFont="1" applyFill="1" applyBorder="1" applyAlignment="1">
      <alignment horizontal="left" vertical="top" wrapText="1"/>
    </xf>
    <xf numFmtId="0" fontId="25" fillId="2" borderId="1" xfId="3" applyNumberFormat="1" applyFont="1" applyFill="1" applyBorder="1" applyAlignment="1" applyProtection="1">
      <alignment vertical="top" wrapText="1"/>
    </xf>
    <xf numFmtId="3" fontId="23" fillId="2" borderId="1" xfId="0" applyNumberFormat="1" applyFont="1" applyFill="1" applyBorder="1" applyAlignment="1">
      <alignment horizontal="right"/>
    </xf>
    <xf numFmtId="49" fontId="25" fillId="2" borderId="1" xfId="0" applyNumberFormat="1" applyFont="1" applyFill="1" applyBorder="1" applyAlignment="1">
      <alignment horizontal="left" vertical="top" wrapText="1"/>
    </xf>
    <xf numFmtId="49" fontId="32" fillId="2" borderId="0" xfId="0" applyNumberFormat="1" applyFont="1" applyFill="1"/>
    <xf numFmtId="0" fontId="20" fillId="2" borderId="0" xfId="0" applyFont="1" applyFill="1" applyAlignment="1">
      <alignment horizontal="left" vertical="top"/>
    </xf>
    <xf numFmtId="0" fontId="14" fillId="2" borderId="0" xfId="0" applyNumberFormat="1" applyFont="1" applyFill="1" applyAlignment="1">
      <alignment horizontal="right"/>
    </xf>
    <xf numFmtId="0" fontId="14" fillId="2" borderId="0" xfId="0" applyNumberFormat="1" applyFont="1" applyFill="1" applyAlignment="1">
      <alignment horizontal="right" wrapText="1"/>
    </xf>
    <xf numFmtId="0" fontId="13" fillId="2" borderId="0" xfId="0" applyFont="1" applyFill="1" applyAlignment="1">
      <alignment horizontal="right" wrapText="1"/>
    </xf>
    <xf numFmtId="0" fontId="25" fillId="2" borderId="0" xfId="0" applyFont="1" applyFill="1" applyAlignment="1">
      <alignment vertical="top"/>
    </xf>
    <xf numFmtId="0" fontId="13" fillId="2" borderId="0" xfId="0" applyFont="1" applyFill="1" applyAlignment="1">
      <alignment horizontal="right" vertical="top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165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3" applyNumberFormat="1" applyFont="1" applyFill="1" applyBorder="1" applyAlignment="1" applyProtection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20" fillId="2" borderId="1" xfId="3" applyNumberFormat="1" applyFont="1" applyFill="1" applyBorder="1" applyAlignment="1" applyProtection="1">
      <alignment horizontal="left" vertical="top" wrapText="1"/>
    </xf>
    <xf numFmtId="3" fontId="18" fillId="2" borderId="1" xfId="0" applyNumberFormat="1" applyFont="1" applyFill="1" applyBorder="1" applyAlignment="1" applyProtection="1">
      <alignment horizontal="right"/>
    </xf>
    <xf numFmtId="0" fontId="22" fillId="2" borderId="1" xfId="3" applyFont="1" applyFill="1" applyBorder="1" applyAlignment="1">
      <alignment horizontal="left" vertical="top" wrapText="1"/>
    </xf>
    <xf numFmtId="3" fontId="25" fillId="2" borderId="1" xfId="0" applyNumberFormat="1" applyFont="1" applyFill="1" applyBorder="1" applyAlignment="1" applyProtection="1">
      <alignment horizontal="right" vertical="top" wrapText="1"/>
    </xf>
    <xf numFmtId="0" fontId="25" fillId="2" borderId="1" xfId="3" applyNumberFormat="1" applyFont="1" applyFill="1" applyBorder="1" applyAlignment="1" applyProtection="1">
      <alignment horizontal="left" vertical="top" wrapText="1"/>
    </xf>
    <xf numFmtId="0" fontId="14" fillId="2" borderId="1" xfId="0" applyNumberFormat="1" applyFont="1" applyFill="1" applyBorder="1" applyAlignment="1">
      <alignment horizontal="right"/>
    </xf>
    <xf numFmtId="0" fontId="25" fillId="2" borderId="1" xfId="0" applyFont="1" applyFill="1" applyBorder="1" applyAlignment="1" applyProtection="1">
      <alignment vertical="top" wrapText="1"/>
    </xf>
    <xf numFmtId="0" fontId="25" fillId="2" borderId="1" xfId="0" applyNumberFormat="1" applyFont="1" applyFill="1" applyBorder="1" applyAlignment="1" applyProtection="1">
      <alignment vertical="top" wrapText="1"/>
    </xf>
    <xf numFmtId="3" fontId="18" fillId="2" borderId="1" xfId="0" applyNumberFormat="1" applyFont="1" applyFill="1" applyBorder="1" applyAlignment="1" applyProtection="1">
      <alignment horizontal="right" wrapText="1"/>
      <protection hidden="1"/>
    </xf>
    <xf numFmtId="49" fontId="26" fillId="2" borderId="1" xfId="4" applyNumberFormat="1" applyFont="1" applyFill="1" applyBorder="1" applyAlignment="1" applyProtection="1">
      <alignment horizontal="center" vertical="top" wrapText="1"/>
      <protection hidden="1"/>
    </xf>
    <xf numFmtId="3" fontId="15" fillId="2" borderId="1" xfId="0" applyNumberFormat="1" applyFont="1" applyFill="1" applyBorder="1" applyAlignment="1" applyProtection="1">
      <alignment horizontal="right" wrapText="1"/>
      <protection hidden="1"/>
    </xf>
    <xf numFmtId="0" fontId="19" fillId="2" borderId="0" xfId="0" applyFont="1" applyFill="1"/>
    <xf numFmtId="49" fontId="33" fillId="2" borderId="1" xfId="4" applyNumberFormat="1" applyFont="1" applyFill="1" applyBorder="1" applyAlignment="1" applyProtection="1">
      <alignment horizontal="center" wrapText="1"/>
      <protection hidden="1"/>
    </xf>
    <xf numFmtId="0" fontId="20" fillId="2" borderId="1" xfId="2" applyNumberFormat="1" applyFont="1" applyFill="1" applyBorder="1" applyAlignment="1" applyProtection="1">
      <alignment horizontal="left" vertical="top" wrapText="1"/>
      <protection hidden="1"/>
    </xf>
    <xf numFmtId="0" fontId="25" fillId="2" borderId="1" xfId="2" applyNumberFormat="1" applyFont="1" applyFill="1" applyBorder="1" applyAlignment="1" applyProtection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0" fontId="26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 applyProtection="1">
      <alignment horizontal="right"/>
      <protection hidden="1"/>
    </xf>
    <xf numFmtId="0" fontId="20" fillId="2" borderId="1" xfId="2" applyNumberFormat="1" applyFont="1" applyFill="1" applyBorder="1" applyAlignment="1" applyProtection="1">
      <alignment horizontal="left" vertical="top" wrapText="1"/>
    </xf>
    <xf numFmtId="0" fontId="26" fillId="2" borderId="1" xfId="0" applyNumberFormat="1" applyFont="1" applyFill="1" applyBorder="1" applyAlignment="1" applyProtection="1">
      <alignment horizontal="left" vertical="top" wrapText="1"/>
      <protection hidden="1"/>
    </xf>
    <xf numFmtId="3" fontId="22" fillId="2" borderId="1" xfId="0" applyNumberFormat="1" applyFont="1" applyFill="1" applyBorder="1" applyAlignment="1">
      <alignment horizontal="right" wrapText="1"/>
    </xf>
    <xf numFmtId="0" fontId="20" fillId="2" borderId="1" xfId="7" applyNumberFormat="1" applyFont="1" applyFill="1" applyBorder="1" applyAlignment="1" applyProtection="1">
      <alignment horizontal="left" vertical="top" wrapText="1"/>
      <protection hidden="1"/>
    </xf>
    <xf numFmtId="0" fontId="20" fillId="2" borderId="1" xfId="5" applyNumberFormat="1" applyFont="1" applyFill="1" applyBorder="1" applyAlignment="1" applyProtection="1">
      <alignment horizontal="left" vertical="top" wrapText="1"/>
      <protection hidden="1"/>
    </xf>
    <xf numFmtId="49" fontId="26" fillId="2" borderId="1" xfId="0" applyNumberFormat="1" applyFont="1" applyFill="1" applyBorder="1" applyAlignment="1" applyProtection="1">
      <alignment horizontal="left" vertical="top" wrapText="1"/>
      <protection hidden="1"/>
    </xf>
    <xf numFmtId="49" fontId="20" fillId="2" borderId="1" xfId="4" applyNumberFormat="1" applyFont="1" applyFill="1" applyBorder="1" applyAlignment="1" applyProtection="1">
      <alignment horizontal="center" vertical="center" wrapText="1"/>
      <protection hidden="1"/>
    </xf>
    <xf numFmtId="3" fontId="14" fillId="2" borderId="1" xfId="6" applyNumberFormat="1" applyFont="1" applyFill="1" applyBorder="1" applyAlignment="1" applyProtection="1">
      <alignment horizontal="right" wrapText="1"/>
      <protection hidden="1"/>
    </xf>
    <xf numFmtId="166" fontId="22" fillId="2" borderId="1" xfId="0" applyNumberFormat="1" applyFont="1" applyFill="1" applyBorder="1" applyAlignment="1">
      <alignment horizontal="right" wrapText="1"/>
    </xf>
    <xf numFmtId="166" fontId="23" fillId="2" borderId="1" xfId="0" applyNumberFormat="1" applyFont="1" applyFill="1" applyBorder="1" applyAlignment="1">
      <alignment horizontal="right" wrapText="1"/>
    </xf>
    <xf numFmtId="0" fontId="20" fillId="2" borderId="1" xfId="8" applyNumberFormat="1" applyFont="1" applyFill="1" applyBorder="1" applyAlignment="1" applyProtection="1">
      <alignment horizontal="left" vertical="top" wrapText="1"/>
      <protection hidden="1"/>
    </xf>
    <xf numFmtId="49" fontId="20" fillId="2" borderId="1" xfId="45" applyNumberFormat="1" applyFont="1" applyFill="1" applyBorder="1" applyAlignment="1">
      <alignment horizontal="center" vertical="top" wrapText="1"/>
    </xf>
    <xf numFmtId="0" fontId="20" fillId="2" borderId="1" xfId="45" applyFont="1" applyFill="1" applyBorder="1" applyAlignment="1">
      <alignment vertical="top" wrapText="1"/>
    </xf>
    <xf numFmtId="49" fontId="20" fillId="2" borderId="1" xfId="3" applyNumberFormat="1" applyFont="1" applyFill="1" applyBorder="1" applyAlignment="1" applyProtection="1">
      <alignment vertical="top"/>
    </xf>
    <xf numFmtId="49" fontId="20" fillId="2" borderId="1" xfId="3" applyNumberFormat="1" applyFont="1" applyFill="1" applyBorder="1" applyAlignment="1" applyProtection="1">
      <alignment vertical="top" wrapText="1"/>
      <protection hidden="1"/>
    </xf>
    <xf numFmtId="167" fontId="25" fillId="2" borderId="1" xfId="5" applyNumberFormat="1" applyFont="1" applyFill="1" applyBorder="1" applyAlignment="1" applyProtection="1">
      <alignment horizontal="left" vertical="top" wrapText="1"/>
      <protection hidden="1"/>
    </xf>
    <xf numFmtId="167" fontId="25" fillId="2" borderId="1" xfId="3" applyNumberFormat="1" applyFont="1" applyFill="1" applyBorder="1" applyAlignment="1" applyProtection="1">
      <alignment horizontal="left" vertical="top" wrapText="1"/>
      <protection hidden="1"/>
    </xf>
    <xf numFmtId="49" fontId="20" fillId="2" borderId="1" xfId="0" applyNumberFormat="1" applyFont="1" applyFill="1" applyBorder="1" applyAlignment="1">
      <alignment horizontal="left" vertical="top" wrapText="1"/>
    </xf>
    <xf numFmtId="49" fontId="26" fillId="2" borderId="1" xfId="3" applyNumberFormat="1" applyFont="1" applyFill="1" applyBorder="1" applyAlignment="1" applyProtection="1">
      <alignment horizontal="left" vertical="top" wrapText="1"/>
      <protection hidden="1"/>
    </xf>
    <xf numFmtId="0" fontId="14" fillId="2" borderId="1" xfId="3" applyNumberFormat="1" applyFont="1" applyFill="1" applyBorder="1" applyAlignment="1" applyProtection="1">
      <alignment horizontal="right" wrapText="1"/>
      <protection hidden="1"/>
    </xf>
    <xf numFmtId="0" fontId="25" fillId="2" borderId="1" xfId="2" applyNumberFormat="1" applyFont="1" applyFill="1" applyBorder="1" applyAlignment="1" applyProtection="1">
      <alignment horizontal="left" vertical="top" wrapText="1"/>
      <protection hidden="1"/>
    </xf>
    <xf numFmtId="0" fontId="25" fillId="2" borderId="1" xfId="3" applyNumberFormat="1" applyFont="1" applyFill="1" applyBorder="1" applyAlignment="1" applyProtection="1">
      <alignment horizontal="justify" vertical="top" wrapText="1"/>
      <protection hidden="1"/>
    </xf>
    <xf numFmtId="0" fontId="25" fillId="2" borderId="1" xfId="0" applyNumberFormat="1" applyFont="1" applyFill="1" applyBorder="1" applyAlignment="1">
      <alignment vertical="top" wrapText="1"/>
    </xf>
    <xf numFmtId="3" fontId="18" fillId="2" borderId="1" xfId="5" applyNumberFormat="1" applyFont="1" applyFill="1" applyBorder="1" applyAlignment="1" applyProtection="1">
      <alignment horizontal="right" wrapText="1"/>
      <protection hidden="1"/>
    </xf>
    <xf numFmtId="0" fontId="14" fillId="2" borderId="1" xfId="0" applyFont="1" applyFill="1" applyBorder="1" applyAlignment="1">
      <alignment horizontal="right" wrapText="1"/>
    </xf>
    <xf numFmtId="49" fontId="25" fillId="2" borderId="1" xfId="4" applyNumberFormat="1" applyFont="1" applyFill="1" applyBorder="1" applyAlignment="1" applyProtection="1">
      <alignment horizontal="center" wrapText="1"/>
      <protection hidden="1"/>
    </xf>
    <xf numFmtId="49" fontId="25" fillId="2" borderId="1" xfId="3" applyNumberFormat="1" applyFont="1" applyFill="1" applyBorder="1" applyAlignment="1" applyProtection="1">
      <alignment vertical="top" wrapText="1"/>
      <protection hidden="1"/>
    </xf>
    <xf numFmtId="49" fontId="20" fillId="2" borderId="1" xfId="3" applyNumberFormat="1" applyFont="1" applyFill="1" applyBorder="1" applyAlignment="1" applyProtection="1">
      <alignment horizontal="center" vertical="top" wrapText="1"/>
      <protection hidden="1"/>
    </xf>
    <xf numFmtId="3" fontId="18" fillId="2" borderId="1" xfId="3" applyNumberFormat="1" applyFont="1" applyFill="1" applyBorder="1" applyAlignment="1" applyProtection="1">
      <alignment horizontal="right" wrapText="1"/>
      <protection hidden="1"/>
    </xf>
    <xf numFmtId="0" fontId="25" fillId="2" borderId="1" xfId="3" applyNumberFormat="1" applyFont="1" applyFill="1" applyBorder="1" applyAlignment="1" applyProtection="1">
      <alignment vertical="top" wrapText="1"/>
      <protection hidden="1"/>
    </xf>
    <xf numFmtId="49" fontId="25" fillId="2" borderId="1" xfId="0" applyNumberFormat="1" applyFont="1" applyFill="1" applyBorder="1"/>
    <xf numFmtId="3" fontId="18" fillId="2" borderId="1" xfId="3" applyNumberFormat="1" applyFont="1" applyFill="1" applyBorder="1" applyAlignment="1" applyProtection="1">
      <alignment horizontal="right"/>
    </xf>
    <xf numFmtId="0" fontId="26" fillId="2" borderId="1" xfId="5" applyNumberFormat="1" applyFont="1" applyFill="1" applyBorder="1" applyAlignment="1" applyProtection="1">
      <alignment vertical="top" wrapText="1"/>
      <protection hidden="1"/>
    </xf>
    <xf numFmtId="3" fontId="18" fillId="2" borderId="1" xfId="6" applyNumberFormat="1" applyFont="1" applyFill="1" applyBorder="1" applyAlignment="1">
      <alignment horizontal="right"/>
    </xf>
    <xf numFmtId="3" fontId="14" fillId="2" borderId="1" xfId="3" applyNumberFormat="1" applyFont="1" applyFill="1" applyBorder="1" applyAlignment="1" applyProtection="1">
      <alignment horizontal="right"/>
    </xf>
    <xf numFmtId="0" fontId="34" fillId="2" borderId="1" xfId="0" applyFont="1" applyFill="1" applyBorder="1" applyAlignment="1" applyProtection="1">
      <alignment horizontal="left" vertical="top" wrapText="1"/>
      <protection hidden="1"/>
    </xf>
    <xf numFmtId="49" fontId="34" fillId="2" borderId="1" xfId="4" applyNumberFormat="1" applyFont="1" applyFill="1" applyBorder="1" applyAlignment="1" applyProtection="1">
      <alignment horizontal="center" wrapText="1"/>
      <protection hidden="1"/>
    </xf>
    <xf numFmtId="0" fontId="34" fillId="2" borderId="1" xfId="0" applyFont="1" applyFill="1" applyBorder="1" applyAlignment="1">
      <alignment horizontal="left" vertical="top" wrapText="1"/>
    </xf>
    <xf numFmtId="3" fontId="28" fillId="2" borderId="1" xfId="0" applyNumberFormat="1" applyFont="1" applyFill="1" applyBorder="1" applyAlignment="1">
      <alignment horizontal="right"/>
    </xf>
    <xf numFmtId="3" fontId="30" fillId="2" borderId="0" xfId="0" applyNumberFormat="1" applyFont="1" applyFill="1"/>
    <xf numFmtId="0" fontId="30" fillId="2" borderId="0" xfId="0" applyFont="1" applyFill="1"/>
    <xf numFmtId="0" fontId="34" fillId="2" borderId="1" xfId="3" applyNumberFormat="1" applyFont="1" applyFill="1" applyBorder="1" applyAlignment="1" applyProtection="1">
      <alignment horizontal="left" vertical="top" wrapText="1"/>
      <protection hidden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0" fillId="2" borderId="1" xfId="4" applyNumberFormat="1" applyFont="1" applyFill="1" applyBorder="1" applyAlignment="1" applyProtection="1">
      <alignment horizontal="left" wrapText="1"/>
      <protection hidden="1"/>
    </xf>
    <xf numFmtId="0" fontId="25" fillId="2" borderId="1" xfId="7" applyNumberFormat="1" applyFont="1" applyFill="1" applyBorder="1" applyAlignment="1" applyProtection="1">
      <alignment horizontal="left" vertical="top" wrapText="1"/>
      <protection hidden="1"/>
    </xf>
    <xf numFmtId="3" fontId="24" fillId="2" borderId="1" xfId="0" applyNumberFormat="1" applyFont="1" applyFill="1" applyBorder="1" applyAlignment="1">
      <alignment horizontal="right"/>
    </xf>
    <xf numFmtId="0" fontId="12" fillId="2" borderId="0" xfId="0" applyFont="1" applyFill="1"/>
    <xf numFmtId="49" fontId="20" fillId="2" borderId="1" xfId="4" applyNumberFormat="1" applyFont="1" applyFill="1" applyBorder="1" applyAlignment="1" applyProtection="1">
      <alignment wrapText="1"/>
      <protection hidden="1"/>
    </xf>
    <xf numFmtId="49" fontId="25" fillId="2" borderId="1" xfId="0" applyNumberFormat="1" applyFont="1" applyFill="1" applyBorder="1" applyAlignment="1">
      <alignment vertical="top" wrapText="1"/>
    </xf>
    <xf numFmtId="0" fontId="33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7" applyNumberFormat="1" applyFont="1" applyFill="1" applyBorder="1" applyAlignment="1" applyProtection="1">
      <alignment horizontal="left" vertical="top" wrapText="1"/>
      <protection hidden="1"/>
    </xf>
    <xf numFmtId="0" fontId="25" fillId="2" borderId="1" xfId="5" applyNumberFormat="1" applyFont="1" applyFill="1" applyBorder="1" applyAlignment="1" applyProtection="1">
      <alignment vertical="top" wrapText="1"/>
      <protection hidden="1"/>
    </xf>
    <xf numFmtId="0" fontId="25" fillId="2" borderId="1" xfId="5" applyNumberFormat="1" applyFont="1" applyFill="1" applyBorder="1" applyAlignment="1" applyProtection="1">
      <alignment horizontal="center" vertical="top" wrapText="1"/>
      <protection hidden="1"/>
    </xf>
    <xf numFmtId="0" fontId="25" fillId="2" borderId="1" xfId="9" applyFont="1" applyFill="1" applyBorder="1" applyAlignment="1">
      <alignment horizontal="left" vertical="top" wrapText="1"/>
    </xf>
    <xf numFmtId="0" fontId="14" fillId="2" borderId="1" xfId="0" applyFont="1" applyFill="1" applyBorder="1" applyAlignment="1" applyProtection="1">
      <alignment horizontal="left" vertical="top" wrapText="1"/>
      <protection hidden="1"/>
    </xf>
    <xf numFmtId="49" fontId="14" fillId="2" borderId="1" xfId="5" applyNumberFormat="1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 applyAlignment="1">
      <alignment horizontal="left" vertical="top" wrapText="1"/>
    </xf>
    <xf numFmtId="0" fontId="14" fillId="2" borderId="1" xfId="3" applyNumberFormat="1" applyFont="1" applyFill="1" applyBorder="1" applyAlignment="1" applyProtection="1">
      <alignment horizontal="left" vertical="top" wrapText="1"/>
      <protection hidden="1"/>
    </xf>
    <xf numFmtId="49" fontId="32" fillId="2" borderId="0" xfId="4" applyNumberFormat="1" applyFont="1" applyFill="1" applyBorder="1" applyAlignment="1" applyProtection="1">
      <alignment horizontal="center" wrapText="1"/>
      <protection hidden="1"/>
    </xf>
    <xf numFmtId="0" fontId="25" fillId="2" borderId="0" xfId="0" applyFont="1" applyFill="1" applyBorder="1" applyAlignment="1" applyProtection="1">
      <alignment vertical="top" wrapText="1"/>
      <protection hidden="1"/>
    </xf>
    <xf numFmtId="0" fontId="13" fillId="2" borderId="0" xfId="0" applyFont="1" applyFill="1" applyBorder="1"/>
    <xf numFmtId="3" fontId="13" fillId="2" borderId="0" xfId="0" applyNumberFormat="1" applyFont="1" applyFill="1" applyBorder="1"/>
    <xf numFmtId="0" fontId="13" fillId="2" borderId="0" xfId="3" applyNumberFormat="1" applyFont="1" applyFill="1" applyBorder="1" applyAlignment="1" applyProtection="1">
      <alignment vertical="top" wrapText="1"/>
      <protection hidden="1"/>
    </xf>
    <xf numFmtId="0" fontId="13" fillId="2" borderId="0" xfId="0" applyFont="1" applyFill="1" applyAlignment="1">
      <alignment vertical="top"/>
    </xf>
    <xf numFmtId="0" fontId="20" fillId="2" borderId="1" xfId="0" applyFont="1" applyFill="1" applyBorder="1" applyAlignment="1">
      <alignment horizontal="left" vertical="top"/>
    </xf>
    <xf numFmtId="3" fontId="13" fillId="2" borderId="0" xfId="0" applyNumberFormat="1" applyFont="1" applyFill="1" applyAlignment="1">
      <alignment vertical="top"/>
    </xf>
    <xf numFmtId="3" fontId="20" fillId="2" borderId="1" xfId="0" applyNumberFormat="1" applyFont="1" applyFill="1" applyBorder="1" applyAlignment="1">
      <alignment horizontal="right" vertical="top"/>
    </xf>
    <xf numFmtId="0" fontId="17" fillId="2" borderId="0" xfId="0" applyFont="1" applyFill="1" applyAlignment="1">
      <alignment horizontal="center" vertical="top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right" wrapText="1"/>
    </xf>
    <xf numFmtId="0" fontId="27" fillId="2" borderId="1" xfId="0" applyFont="1" applyFill="1" applyBorder="1" applyAlignment="1">
      <alignment horizontal="right" wrapText="1"/>
    </xf>
    <xf numFmtId="49" fontId="25" fillId="2" borderId="1" xfId="0" applyNumberFormat="1" applyFont="1" applyFill="1" applyBorder="1" applyAlignment="1">
      <alignment vertical="top" wrapText="1"/>
    </xf>
    <xf numFmtId="49" fontId="25" fillId="2" borderId="1" xfId="0" applyNumberFormat="1" applyFont="1" applyFill="1" applyBorder="1" applyAlignment="1">
      <alignment horizontal="left" vertical="top" wrapText="1"/>
    </xf>
    <xf numFmtId="0" fontId="25" fillId="2" borderId="1" xfId="0" applyFont="1" applyFill="1" applyBorder="1" applyAlignment="1" applyProtection="1">
      <alignment horizontal="left" vertical="top" wrapText="1"/>
      <protection hidden="1"/>
    </xf>
  </cellXfs>
  <cellStyles count="83">
    <cellStyle name="Обычный" xfId="0" builtinId="0"/>
    <cellStyle name="Обычный 2" xfId="5"/>
    <cellStyle name="Обычный 2 2" xfId="7"/>
    <cellStyle name="Обычный 3" xfId="9"/>
    <cellStyle name="Обычный 3 2" xfId="11"/>
    <cellStyle name="Обычный 3 2 2" xfId="14"/>
    <cellStyle name="Обычный 3 2 2 2" xfId="20"/>
    <cellStyle name="Обычный 3 2 2 2 2" xfId="32"/>
    <cellStyle name="Обычный 3 2 2 2 2 2" xfId="69"/>
    <cellStyle name="Обычный 3 2 2 2 3" xfId="44"/>
    <cellStyle name="Обычный 3 2 2 2 3 2" xfId="81"/>
    <cellStyle name="Обычный 3 2 2 2 4" xfId="57"/>
    <cellStyle name="Обычный 3 2 2 3" xfId="26"/>
    <cellStyle name="Обычный 3 2 2 3 2" xfId="63"/>
    <cellStyle name="Обычный 3 2 2 4" xfId="38"/>
    <cellStyle name="Обычный 3 2 2 4 2" xfId="75"/>
    <cellStyle name="Обычный 3 2 2 5" xfId="51"/>
    <cellStyle name="Обычный 3 2 3" xfId="17"/>
    <cellStyle name="Обычный 3 2 3 2" xfId="29"/>
    <cellStyle name="Обычный 3 2 3 2 2" xfId="66"/>
    <cellStyle name="Обычный 3 2 3 3" xfId="41"/>
    <cellStyle name="Обычный 3 2 3 3 2" xfId="78"/>
    <cellStyle name="Обычный 3 2 3 4" xfId="54"/>
    <cellStyle name="Обычный 3 2 4" xfId="23"/>
    <cellStyle name="Обычный 3 2 4 2" xfId="60"/>
    <cellStyle name="Обычный 3 2 5" xfId="35"/>
    <cellStyle name="Обычный 3 2 5 2" xfId="72"/>
    <cellStyle name="Обычный 3 2 6" xfId="48"/>
    <cellStyle name="Обычный 3 3" xfId="10"/>
    <cellStyle name="Обычный 3 3 2" xfId="13"/>
    <cellStyle name="Обычный 3 3 2 2" xfId="19"/>
    <cellStyle name="Обычный 3 3 2 2 2" xfId="31"/>
    <cellStyle name="Обычный 3 3 2 2 2 2" xfId="68"/>
    <cellStyle name="Обычный 3 3 2 2 3" xfId="43"/>
    <cellStyle name="Обычный 3 3 2 2 3 2" xfId="80"/>
    <cellStyle name="Обычный 3 3 2 2 4" xfId="56"/>
    <cellStyle name="Обычный 3 3 2 3" xfId="25"/>
    <cellStyle name="Обычный 3 3 2 3 2" xfId="62"/>
    <cellStyle name="Обычный 3 3 2 4" xfId="37"/>
    <cellStyle name="Обычный 3 3 2 4 2" xfId="74"/>
    <cellStyle name="Обычный 3 3 2 5" xfId="50"/>
    <cellStyle name="Обычный 3 3 3" xfId="16"/>
    <cellStyle name="Обычный 3 3 3 2" xfId="28"/>
    <cellStyle name="Обычный 3 3 3 2 2" xfId="65"/>
    <cellStyle name="Обычный 3 3 3 3" xfId="40"/>
    <cellStyle name="Обычный 3 3 3 3 2" xfId="77"/>
    <cellStyle name="Обычный 3 3 3 4" xfId="53"/>
    <cellStyle name="Обычный 3 3 4" xfId="22"/>
    <cellStyle name="Обычный 3 3 4 2" xfId="59"/>
    <cellStyle name="Обычный 3 3 5" xfId="34"/>
    <cellStyle name="Обычный 3 3 5 2" xfId="71"/>
    <cellStyle name="Обычный 3 3 6" xfId="47"/>
    <cellStyle name="Обычный 3 4" xfId="12"/>
    <cellStyle name="Обычный 3 4 2" xfId="18"/>
    <cellStyle name="Обычный 3 4 2 2" xfId="30"/>
    <cellStyle name="Обычный 3 4 2 2 2" xfId="67"/>
    <cellStyle name="Обычный 3 4 2 3" xfId="42"/>
    <cellStyle name="Обычный 3 4 2 3 2" xfId="79"/>
    <cellStyle name="Обычный 3 4 2 4" xfId="55"/>
    <cellStyle name="Обычный 3 4 3" xfId="24"/>
    <cellStyle name="Обычный 3 4 3 2" xfId="61"/>
    <cellStyle name="Обычный 3 4 4" xfId="36"/>
    <cellStyle name="Обычный 3 4 4 2" xfId="73"/>
    <cellStyle name="Обычный 3 4 5" xfId="49"/>
    <cellStyle name="Обычный 3 5" xfId="15"/>
    <cellStyle name="Обычный 3 5 2" xfId="27"/>
    <cellStyle name="Обычный 3 5 2 2" xfId="64"/>
    <cellStyle name="Обычный 3 5 3" xfId="39"/>
    <cellStyle name="Обычный 3 5 3 2" xfId="76"/>
    <cellStyle name="Обычный 3 5 4" xfId="52"/>
    <cellStyle name="Обычный 3 6" xfId="21"/>
    <cellStyle name="Обычный 3 6 2" xfId="58"/>
    <cellStyle name="Обычный 3 7" xfId="33"/>
    <cellStyle name="Обычный 3 7 2" xfId="70"/>
    <cellStyle name="Обычный 3 8" xfId="46"/>
    <cellStyle name="Обычный 4" xfId="45"/>
    <cellStyle name="Обычный 4 2" xfId="82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8"/>
  <sheetViews>
    <sheetView tabSelected="1" view="pageBreakPreview" zoomScaleNormal="80" zoomScaleSheetLayoutView="100" workbookViewId="0">
      <pane xSplit="1" ySplit="8" topLeftCell="B654" activePane="bottomRight" state="frozen"/>
      <selection pane="topRight" activeCell="B1" sqref="B1"/>
      <selection pane="bottomLeft" activeCell="A8" sqref="A8"/>
      <selection pane="bottomRight" activeCell="M664" sqref="M664"/>
    </sheetView>
  </sheetViews>
  <sheetFormatPr defaultRowHeight="14.25" x14ac:dyDescent="0.2"/>
  <cols>
    <col min="1" max="1" width="6.7109375" style="53" customWidth="1"/>
    <col min="2" max="2" width="28.7109375" style="54" customWidth="1"/>
    <col min="3" max="3" width="14.7109375" style="24" customWidth="1"/>
    <col min="4" max="4" width="15.42578125" style="24" hidden="1" customWidth="1"/>
    <col min="5" max="6" width="16.28515625" style="24" hidden="1" customWidth="1"/>
    <col min="7" max="7" width="15.42578125" style="24" customWidth="1"/>
    <col min="8" max="8" width="14.42578125" style="24" customWidth="1"/>
    <col min="9" max="12" width="16.28515625" style="24" hidden="1" customWidth="1"/>
    <col min="13" max="13" width="74.5703125" style="148" customWidth="1"/>
    <col min="14" max="14" width="24.7109375" style="24" customWidth="1"/>
    <col min="15" max="16384" width="9.140625" style="24"/>
  </cols>
  <sheetData>
    <row r="1" spans="1:14" ht="15.75" x14ac:dyDescent="0.25">
      <c r="M1" s="55" t="s">
        <v>200</v>
      </c>
    </row>
    <row r="2" spans="1:14" ht="12.75" customHeight="1" x14ac:dyDescent="0.25">
      <c r="M2" s="56" t="s">
        <v>201</v>
      </c>
    </row>
    <row r="3" spans="1:14" x14ac:dyDescent="0.2">
      <c r="M3" s="57"/>
    </row>
    <row r="4" spans="1:14" ht="45" customHeight="1" x14ac:dyDescent="0.2">
      <c r="A4" s="152" t="s">
        <v>216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4" ht="15" x14ac:dyDescent="0.2">
      <c r="B5" s="58"/>
      <c r="M5" s="59" t="s">
        <v>202</v>
      </c>
    </row>
    <row r="6" spans="1:14" ht="18.75" customHeight="1" x14ac:dyDescent="0.2">
      <c r="A6" s="153" t="s">
        <v>0</v>
      </c>
      <c r="B6" s="154" t="s">
        <v>148</v>
      </c>
      <c r="C6" s="155" t="s">
        <v>162</v>
      </c>
      <c r="D6" s="60"/>
      <c r="E6" s="21"/>
      <c r="F6" s="21"/>
      <c r="G6" s="155" t="s">
        <v>146</v>
      </c>
      <c r="H6" s="155" t="s">
        <v>204</v>
      </c>
      <c r="I6" s="156"/>
      <c r="J6" s="156"/>
      <c r="K6" s="158" t="s">
        <v>205</v>
      </c>
      <c r="L6" s="158"/>
      <c r="M6" s="157" t="s">
        <v>511</v>
      </c>
    </row>
    <row r="7" spans="1:14" ht="24.75" customHeight="1" x14ac:dyDescent="0.2">
      <c r="A7" s="153"/>
      <c r="B7" s="154"/>
      <c r="C7" s="155"/>
      <c r="D7" s="60"/>
      <c r="E7" s="60"/>
      <c r="F7" s="60"/>
      <c r="G7" s="155"/>
      <c r="H7" s="155"/>
      <c r="I7" s="158"/>
      <c r="J7" s="158"/>
      <c r="K7" s="158"/>
      <c r="L7" s="158"/>
      <c r="M7" s="157"/>
    </row>
    <row r="8" spans="1:14" ht="30.75" customHeight="1" x14ac:dyDescent="0.2">
      <c r="A8" s="153"/>
      <c r="B8" s="154"/>
      <c r="C8" s="155"/>
      <c r="D8" s="60"/>
      <c r="E8" s="60"/>
      <c r="F8" s="60"/>
      <c r="G8" s="155"/>
      <c r="H8" s="155"/>
      <c r="I8" s="61"/>
      <c r="J8" s="61"/>
      <c r="K8" s="61" t="s">
        <v>221</v>
      </c>
      <c r="L8" s="61" t="s">
        <v>222</v>
      </c>
      <c r="M8" s="157"/>
    </row>
    <row r="9" spans="1:14" ht="57" x14ac:dyDescent="0.25">
      <c r="A9" s="32" t="s">
        <v>163</v>
      </c>
      <c r="B9" s="62" t="s">
        <v>1</v>
      </c>
      <c r="C9" s="10">
        <f>C10+C16+C54</f>
        <v>233903200</v>
      </c>
      <c r="D9" s="10">
        <f t="shared" ref="D9:L9" si="0">D10+D16+D54</f>
        <v>0</v>
      </c>
      <c r="E9" s="10">
        <f t="shared" si="0"/>
        <v>0</v>
      </c>
      <c r="F9" s="10">
        <f t="shared" si="0"/>
        <v>0</v>
      </c>
      <c r="G9" s="10">
        <f t="shared" si="0"/>
        <v>415455150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204727528</v>
      </c>
      <c r="L9" s="10">
        <f t="shared" si="0"/>
        <v>212625928</v>
      </c>
      <c r="M9" s="63"/>
      <c r="N9" s="28"/>
    </row>
    <row r="10" spans="1:14" ht="85.5" hidden="1" x14ac:dyDescent="0.25">
      <c r="A10" s="32" t="s">
        <v>164</v>
      </c>
      <c r="B10" s="33" t="s">
        <v>2</v>
      </c>
      <c r="C10" s="10">
        <f>C11+C13</f>
        <v>0</v>
      </c>
      <c r="D10" s="10"/>
      <c r="E10" s="10"/>
      <c r="F10" s="10"/>
      <c r="G10" s="10">
        <f t="shared" ref="G10:L10" si="1">G11+G13</f>
        <v>0</v>
      </c>
      <c r="H10" s="10">
        <f t="shared" si="1"/>
        <v>0</v>
      </c>
      <c r="I10" s="10"/>
      <c r="J10" s="10"/>
      <c r="K10" s="10">
        <f t="shared" si="1"/>
        <v>0</v>
      </c>
      <c r="L10" s="10">
        <f t="shared" si="1"/>
        <v>0</v>
      </c>
      <c r="M10" s="64"/>
      <c r="N10" s="28"/>
    </row>
    <row r="11" spans="1:14" ht="30" hidden="1" x14ac:dyDescent="0.25">
      <c r="A11" s="34"/>
      <c r="B11" s="30" t="s">
        <v>65</v>
      </c>
      <c r="C11" s="7">
        <f>C12</f>
        <v>0</v>
      </c>
      <c r="D11" s="7"/>
      <c r="E11" s="7"/>
      <c r="F11" s="7"/>
      <c r="G11" s="7">
        <f t="shared" ref="G11:L11" si="2">G12</f>
        <v>0</v>
      </c>
      <c r="H11" s="7">
        <f t="shared" si="2"/>
        <v>0</v>
      </c>
      <c r="I11" s="7"/>
      <c r="J11" s="7"/>
      <c r="K11" s="7">
        <f t="shared" si="2"/>
        <v>0</v>
      </c>
      <c r="L11" s="7">
        <f t="shared" si="2"/>
        <v>0</v>
      </c>
      <c r="M11" s="64"/>
      <c r="N11" s="28"/>
    </row>
    <row r="12" spans="1:14" ht="45" hidden="1" x14ac:dyDescent="0.25">
      <c r="A12" s="34"/>
      <c r="B12" s="39" t="s">
        <v>252</v>
      </c>
      <c r="C12" s="7"/>
      <c r="D12" s="7"/>
      <c r="E12" s="9"/>
      <c r="F12" s="7"/>
      <c r="G12" s="7">
        <v>0</v>
      </c>
      <c r="H12" s="7"/>
      <c r="I12" s="7"/>
      <c r="J12" s="7"/>
      <c r="K12" s="7"/>
      <c r="L12" s="7"/>
      <c r="M12" s="64"/>
      <c r="N12" s="28"/>
    </row>
    <row r="13" spans="1:14" ht="45" hidden="1" x14ac:dyDescent="0.25">
      <c r="A13" s="34"/>
      <c r="B13" s="30" t="s">
        <v>44</v>
      </c>
      <c r="C13" s="7">
        <f>C14+C15</f>
        <v>0</v>
      </c>
      <c r="D13" s="7"/>
      <c r="E13" s="7"/>
      <c r="F13" s="7"/>
      <c r="G13" s="7">
        <f t="shared" ref="G13:L13" si="3">G14+G15</f>
        <v>0</v>
      </c>
      <c r="H13" s="7">
        <f t="shared" si="3"/>
        <v>0</v>
      </c>
      <c r="I13" s="7"/>
      <c r="J13" s="7"/>
      <c r="K13" s="7">
        <f t="shared" si="3"/>
        <v>0</v>
      </c>
      <c r="L13" s="7">
        <f t="shared" si="3"/>
        <v>0</v>
      </c>
      <c r="M13" s="65"/>
      <c r="N13" s="28"/>
    </row>
    <row r="14" spans="1:14" ht="100.5" hidden="1" customHeight="1" x14ac:dyDescent="0.25">
      <c r="A14" s="34"/>
      <c r="B14" s="30"/>
      <c r="C14" s="7"/>
      <c r="D14" s="7"/>
      <c r="E14" s="5"/>
      <c r="F14" s="5"/>
      <c r="G14" s="1"/>
      <c r="H14" s="5"/>
      <c r="I14" s="5"/>
      <c r="J14" s="5"/>
      <c r="K14" s="5"/>
      <c r="L14" s="5"/>
      <c r="M14" s="2"/>
      <c r="N14" s="28"/>
    </row>
    <row r="15" spans="1:14" ht="67.5" hidden="1" customHeight="1" x14ac:dyDescent="0.25">
      <c r="A15" s="34"/>
      <c r="B15" s="31"/>
      <c r="C15" s="1"/>
      <c r="D15" s="20"/>
      <c r="E15" s="1"/>
      <c r="F15" s="20"/>
      <c r="G15" s="20"/>
      <c r="H15" s="20"/>
      <c r="I15" s="20"/>
      <c r="J15" s="20"/>
      <c r="K15" s="20"/>
      <c r="L15" s="20"/>
      <c r="M15" s="2"/>
      <c r="N15" s="28"/>
    </row>
    <row r="16" spans="1:14" ht="60.75" customHeight="1" x14ac:dyDescent="0.25">
      <c r="A16" s="32" t="s">
        <v>165</v>
      </c>
      <c r="B16" s="66" t="s">
        <v>46</v>
      </c>
      <c r="C16" s="67">
        <f t="shared" ref="C16:L16" si="4">C17</f>
        <v>159685300</v>
      </c>
      <c r="D16" s="67"/>
      <c r="E16" s="67"/>
      <c r="F16" s="67"/>
      <c r="G16" s="67">
        <f t="shared" si="4"/>
        <v>385140750</v>
      </c>
      <c r="H16" s="67">
        <f t="shared" si="4"/>
        <v>0</v>
      </c>
      <c r="I16" s="67"/>
      <c r="J16" s="67"/>
      <c r="K16" s="67">
        <f t="shared" si="4"/>
        <v>204727528</v>
      </c>
      <c r="L16" s="67">
        <f t="shared" si="4"/>
        <v>212625928</v>
      </c>
      <c r="M16" s="2"/>
      <c r="N16" s="28"/>
    </row>
    <row r="17" spans="1:14" ht="45" x14ac:dyDescent="0.25">
      <c r="A17" s="32"/>
      <c r="B17" s="30" t="s">
        <v>44</v>
      </c>
      <c r="C17" s="20">
        <f>SUM(C18:C53)</f>
        <v>159685300</v>
      </c>
      <c r="D17" s="20"/>
      <c r="E17" s="20"/>
      <c r="F17" s="20"/>
      <c r="G17" s="20">
        <f t="shared" ref="G17:L17" si="5">SUM(G18:G53)</f>
        <v>385140750</v>
      </c>
      <c r="H17" s="20">
        <f t="shared" si="5"/>
        <v>0</v>
      </c>
      <c r="I17" s="20"/>
      <c r="J17" s="20"/>
      <c r="K17" s="20">
        <f t="shared" si="5"/>
        <v>204727528</v>
      </c>
      <c r="L17" s="20">
        <f t="shared" si="5"/>
        <v>212625928</v>
      </c>
      <c r="M17" s="2"/>
      <c r="N17" s="28"/>
    </row>
    <row r="18" spans="1:14" ht="78.75" x14ac:dyDescent="0.25">
      <c r="A18" s="32"/>
      <c r="B18" s="30"/>
      <c r="C18" s="1">
        <v>12939000</v>
      </c>
      <c r="D18" s="20"/>
      <c r="E18" s="1"/>
      <c r="F18" s="20"/>
      <c r="G18" s="20"/>
      <c r="H18" s="20"/>
      <c r="I18" s="20"/>
      <c r="J18" s="20"/>
      <c r="K18" s="20"/>
      <c r="L18" s="20"/>
      <c r="M18" s="2" t="s">
        <v>599</v>
      </c>
      <c r="N18" s="28"/>
    </row>
    <row r="19" spans="1:14" ht="78.75" x14ac:dyDescent="0.25">
      <c r="A19" s="32"/>
      <c r="B19" s="30"/>
      <c r="C19" s="1">
        <v>61521400</v>
      </c>
      <c r="D19" s="20"/>
      <c r="E19" s="1"/>
      <c r="F19" s="20"/>
      <c r="G19" s="20"/>
      <c r="H19" s="20"/>
      <c r="I19" s="20"/>
      <c r="J19" s="20"/>
      <c r="K19" s="20"/>
      <c r="L19" s="20"/>
      <c r="M19" s="2" t="s">
        <v>600</v>
      </c>
      <c r="N19" s="28"/>
    </row>
    <row r="20" spans="1:14" ht="63" x14ac:dyDescent="0.25">
      <c r="A20" s="32"/>
      <c r="B20" s="30"/>
      <c r="C20" s="1">
        <v>22426000</v>
      </c>
      <c r="D20" s="20"/>
      <c r="E20" s="1"/>
      <c r="F20" s="20"/>
      <c r="G20" s="20"/>
      <c r="H20" s="20"/>
      <c r="I20" s="20"/>
      <c r="J20" s="20"/>
      <c r="K20" s="20"/>
      <c r="L20" s="20"/>
      <c r="M20" s="2" t="s">
        <v>601</v>
      </c>
      <c r="N20" s="28"/>
    </row>
    <row r="21" spans="1:14" ht="114" customHeight="1" x14ac:dyDescent="0.25">
      <c r="A21" s="32"/>
      <c r="B21" s="30"/>
      <c r="C21" s="1">
        <v>44798900</v>
      </c>
      <c r="D21" s="20"/>
      <c r="E21" s="1"/>
      <c r="F21" s="20"/>
      <c r="G21" s="20"/>
      <c r="H21" s="20"/>
      <c r="I21" s="20"/>
      <c r="J21" s="20"/>
      <c r="K21" s="20"/>
      <c r="L21" s="20"/>
      <c r="M21" s="2" t="s">
        <v>602</v>
      </c>
      <c r="N21" s="28"/>
    </row>
    <row r="22" spans="1:14" ht="78.75" x14ac:dyDescent="0.25">
      <c r="A22" s="32"/>
      <c r="B22" s="30"/>
      <c r="C22" s="5">
        <v>18000000</v>
      </c>
      <c r="D22" s="20"/>
      <c r="E22" s="1"/>
      <c r="F22" s="20"/>
      <c r="G22" s="20"/>
      <c r="H22" s="20"/>
      <c r="I22" s="20"/>
      <c r="J22" s="20"/>
      <c r="K22" s="20"/>
      <c r="L22" s="20"/>
      <c r="M22" s="2" t="s">
        <v>607</v>
      </c>
      <c r="N22" s="28"/>
    </row>
    <row r="23" spans="1:14" ht="47.25" x14ac:dyDescent="0.25">
      <c r="A23" s="32"/>
      <c r="B23" s="30"/>
      <c r="C23" s="20"/>
      <c r="D23" s="20"/>
      <c r="E23" s="1"/>
      <c r="F23" s="20"/>
      <c r="G23" s="1">
        <v>7320000</v>
      </c>
      <c r="H23" s="20"/>
      <c r="I23" s="20"/>
      <c r="J23" s="20"/>
      <c r="K23" s="20"/>
      <c r="L23" s="20"/>
      <c r="M23" s="2" t="s">
        <v>608</v>
      </c>
      <c r="N23" s="28"/>
    </row>
    <row r="24" spans="1:14" ht="66.75" customHeight="1" x14ac:dyDescent="0.25">
      <c r="A24" s="32"/>
      <c r="B24" s="30"/>
      <c r="C24" s="20"/>
      <c r="D24" s="20"/>
      <c r="E24" s="5"/>
      <c r="F24" s="5"/>
      <c r="G24" s="5">
        <v>272000000</v>
      </c>
      <c r="H24" s="5"/>
      <c r="I24" s="5"/>
      <c r="J24" s="5"/>
      <c r="K24" s="5"/>
      <c r="L24" s="5"/>
      <c r="M24" s="2" t="s">
        <v>609</v>
      </c>
      <c r="N24" s="28"/>
    </row>
    <row r="25" spans="1:14" ht="15.75" x14ac:dyDescent="0.25">
      <c r="A25" s="32"/>
      <c r="B25" s="30"/>
      <c r="C25" s="20"/>
      <c r="D25" s="20"/>
      <c r="E25" s="5"/>
      <c r="F25" s="5"/>
      <c r="G25" s="5">
        <v>16320750</v>
      </c>
      <c r="H25" s="5"/>
      <c r="I25" s="5"/>
      <c r="J25" s="5"/>
      <c r="K25" s="5"/>
      <c r="L25" s="5"/>
      <c r="M25" s="2" t="s">
        <v>456</v>
      </c>
      <c r="N25" s="28"/>
    </row>
    <row r="26" spans="1:14" ht="15.75" hidden="1" customHeight="1" x14ac:dyDescent="0.25">
      <c r="A26" s="32"/>
      <c r="B26" s="39"/>
      <c r="C26" s="20"/>
      <c r="D26" s="20"/>
      <c r="E26" s="5"/>
      <c r="F26" s="5"/>
      <c r="G26" s="5">
        <v>0</v>
      </c>
      <c r="H26" s="5"/>
      <c r="I26" s="5"/>
      <c r="J26" s="5"/>
      <c r="K26" s="5"/>
      <c r="L26" s="5"/>
      <c r="M26" s="2"/>
      <c r="N26" s="28"/>
    </row>
    <row r="27" spans="1:14" ht="31.5" hidden="1" customHeight="1" x14ac:dyDescent="0.25">
      <c r="A27" s="32"/>
      <c r="B27" s="39"/>
      <c r="C27" s="20"/>
      <c r="D27" s="20"/>
      <c r="E27" s="5"/>
      <c r="F27" s="5"/>
      <c r="G27" s="5"/>
      <c r="H27" s="5"/>
      <c r="I27" s="5"/>
      <c r="J27" s="5"/>
      <c r="K27" s="17"/>
      <c r="L27" s="17"/>
      <c r="M27" s="2" t="s">
        <v>530</v>
      </c>
      <c r="N27" s="28"/>
    </row>
    <row r="28" spans="1:14" ht="15.75" hidden="1" customHeight="1" x14ac:dyDescent="0.25">
      <c r="A28" s="32"/>
      <c r="B28" s="39"/>
      <c r="C28" s="20"/>
      <c r="D28" s="20"/>
      <c r="E28" s="5"/>
      <c r="F28" s="5"/>
      <c r="G28" s="5"/>
      <c r="H28" s="5"/>
      <c r="I28" s="5"/>
      <c r="J28" s="5"/>
      <c r="K28" s="5"/>
      <c r="L28" s="5"/>
      <c r="M28" s="2"/>
      <c r="N28" s="28"/>
    </row>
    <row r="29" spans="1:14" ht="47.25" x14ac:dyDescent="0.25">
      <c r="A29" s="32"/>
      <c r="B29" s="39"/>
      <c r="C29" s="20"/>
      <c r="D29" s="20"/>
      <c r="E29" s="5"/>
      <c r="F29" s="5"/>
      <c r="G29" s="5">
        <v>46000000</v>
      </c>
      <c r="H29" s="5"/>
      <c r="I29" s="5"/>
      <c r="J29" s="5"/>
      <c r="K29" s="5"/>
      <c r="L29" s="5"/>
      <c r="M29" s="2" t="s">
        <v>610</v>
      </c>
      <c r="N29" s="28"/>
    </row>
    <row r="30" spans="1:14" ht="15.75" hidden="1" customHeight="1" x14ac:dyDescent="0.25">
      <c r="A30" s="32"/>
      <c r="B30" s="39"/>
      <c r="C30" s="20"/>
      <c r="D30" s="20"/>
      <c r="E30" s="5"/>
      <c r="F30" s="5"/>
      <c r="G30" s="5"/>
      <c r="H30" s="5"/>
      <c r="I30" s="5"/>
      <c r="J30" s="5"/>
      <c r="K30" s="5"/>
      <c r="L30" s="5"/>
      <c r="M30" s="2"/>
      <c r="N30" s="28"/>
    </row>
    <row r="31" spans="1:14" ht="47.25" x14ac:dyDescent="0.25">
      <c r="A31" s="32"/>
      <c r="B31" s="39"/>
      <c r="C31" s="20"/>
      <c r="D31" s="20"/>
      <c r="E31" s="5"/>
      <c r="F31" s="5"/>
      <c r="G31" s="5">
        <v>13500000</v>
      </c>
      <c r="H31" s="5"/>
      <c r="I31" s="5"/>
      <c r="J31" s="5"/>
      <c r="K31" s="5"/>
      <c r="L31" s="5"/>
      <c r="M31" s="68" t="s">
        <v>616</v>
      </c>
      <c r="N31" s="28"/>
    </row>
    <row r="32" spans="1:14" ht="63" x14ac:dyDescent="0.25">
      <c r="A32" s="32"/>
      <c r="B32" s="30"/>
      <c r="C32" s="20"/>
      <c r="D32" s="20"/>
      <c r="E32" s="5"/>
      <c r="F32" s="5"/>
      <c r="G32" s="5">
        <v>10000000</v>
      </c>
      <c r="H32" s="5"/>
      <c r="I32" s="5"/>
      <c r="J32" s="5"/>
      <c r="K32" s="5"/>
      <c r="L32" s="5"/>
      <c r="M32" s="2" t="s">
        <v>617</v>
      </c>
      <c r="N32" s="28"/>
    </row>
    <row r="33" spans="1:14" ht="15.75" hidden="1" customHeight="1" x14ac:dyDescent="0.25">
      <c r="A33" s="32"/>
      <c r="B33" s="30"/>
      <c r="C33" s="20"/>
      <c r="D33" s="20"/>
      <c r="E33" s="5"/>
      <c r="F33" s="5"/>
      <c r="G33" s="5"/>
      <c r="H33" s="5"/>
      <c r="I33" s="5"/>
      <c r="J33" s="5"/>
      <c r="K33" s="5"/>
      <c r="L33" s="5"/>
      <c r="M33" s="2"/>
      <c r="N33" s="28"/>
    </row>
    <row r="34" spans="1:14" ht="15.75" hidden="1" customHeight="1" x14ac:dyDescent="0.25">
      <c r="A34" s="32"/>
      <c r="B34" s="69"/>
      <c r="C34" s="20"/>
      <c r="D34" s="20"/>
      <c r="E34" s="5"/>
      <c r="F34" s="5"/>
      <c r="G34" s="5"/>
      <c r="H34" s="5"/>
      <c r="I34" s="5"/>
      <c r="J34" s="5"/>
      <c r="K34" s="5"/>
      <c r="L34" s="5"/>
      <c r="M34" s="2"/>
      <c r="N34" s="28"/>
    </row>
    <row r="35" spans="1:14" ht="15.75" hidden="1" customHeight="1" x14ac:dyDescent="0.25">
      <c r="A35" s="32"/>
      <c r="B35" s="69"/>
      <c r="C35" s="20"/>
      <c r="D35" s="20"/>
      <c r="E35" s="5"/>
      <c r="F35" s="5"/>
      <c r="G35" s="5"/>
      <c r="H35" s="5"/>
      <c r="I35" s="5"/>
      <c r="J35" s="5"/>
      <c r="K35" s="5"/>
      <c r="L35" s="5"/>
      <c r="M35" s="2"/>
      <c r="N35" s="28"/>
    </row>
    <row r="36" spans="1:14" ht="15.75" hidden="1" customHeight="1" x14ac:dyDescent="0.25">
      <c r="A36" s="32"/>
      <c r="B36" s="69"/>
      <c r="C36" s="20"/>
      <c r="D36" s="20"/>
      <c r="E36" s="5"/>
      <c r="F36" s="5"/>
      <c r="G36" s="1"/>
      <c r="H36" s="5"/>
      <c r="I36" s="5"/>
      <c r="J36" s="5"/>
      <c r="K36" s="5"/>
      <c r="L36" s="5"/>
      <c r="M36" s="2"/>
      <c r="N36" s="28"/>
    </row>
    <row r="37" spans="1:14" ht="15.75" hidden="1" customHeight="1" x14ac:dyDescent="0.25">
      <c r="A37" s="32"/>
      <c r="B37" s="69"/>
      <c r="C37" s="20"/>
      <c r="D37" s="20"/>
      <c r="E37" s="5"/>
      <c r="F37" s="5"/>
      <c r="G37" s="5"/>
      <c r="H37" s="5"/>
      <c r="I37" s="5"/>
      <c r="J37" s="5"/>
      <c r="K37" s="5"/>
      <c r="L37" s="5"/>
      <c r="M37" s="2"/>
      <c r="N37" s="28"/>
    </row>
    <row r="38" spans="1:14" ht="15.75" hidden="1" customHeight="1" x14ac:dyDescent="0.25">
      <c r="A38" s="32"/>
      <c r="B38" s="69"/>
      <c r="C38" s="20"/>
      <c r="D38" s="20"/>
      <c r="E38" s="5"/>
      <c r="F38" s="5"/>
      <c r="G38" s="5"/>
      <c r="H38" s="5"/>
      <c r="I38" s="5"/>
      <c r="J38" s="5"/>
      <c r="K38" s="5"/>
      <c r="L38" s="5"/>
      <c r="M38" s="2"/>
      <c r="N38" s="28"/>
    </row>
    <row r="39" spans="1:14" ht="47.25" x14ac:dyDescent="0.25">
      <c r="A39" s="32"/>
      <c r="B39" s="69"/>
      <c r="C39" s="20"/>
      <c r="D39" s="20"/>
      <c r="E39" s="5"/>
      <c r="F39" s="5"/>
      <c r="G39" s="1">
        <v>20000000</v>
      </c>
      <c r="H39" s="5"/>
      <c r="I39" s="5"/>
      <c r="J39" s="5"/>
      <c r="K39" s="5"/>
      <c r="L39" s="5"/>
      <c r="M39" s="2" t="s">
        <v>618</v>
      </c>
      <c r="N39" s="28"/>
    </row>
    <row r="40" spans="1:14" ht="15.75" hidden="1" customHeight="1" x14ac:dyDescent="0.25">
      <c r="A40" s="32"/>
      <c r="B40" s="69"/>
      <c r="C40" s="20"/>
      <c r="D40" s="20"/>
      <c r="E40" s="5"/>
      <c r="F40" s="5"/>
      <c r="G40" s="5"/>
      <c r="H40" s="5"/>
      <c r="I40" s="5"/>
      <c r="J40" s="5"/>
      <c r="K40" s="5"/>
      <c r="L40" s="5"/>
      <c r="M40" s="2"/>
      <c r="N40" s="28"/>
    </row>
    <row r="41" spans="1:14" ht="47.25" hidden="1" customHeight="1" x14ac:dyDescent="0.25">
      <c r="A41" s="32"/>
      <c r="B41" s="69"/>
      <c r="C41" s="20"/>
      <c r="D41" s="20"/>
      <c r="E41" s="5"/>
      <c r="F41" s="5"/>
      <c r="G41" s="5"/>
      <c r="H41" s="5"/>
      <c r="I41" s="5"/>
      <c r="J41" s="1"/>
      <c r="K41" s="5"/>
      <c r="L41" s="1">
        <v>1898400</v>
      </c>
      <c r="M41" s="2" t="s">
        <v>427</v>
      </c>
      <c r="N41" s="28"/>
    </row>
    <row r="42" spans="1:14" ht="94.5" hidden="1" customHeight="1" x14ac:dyDescent="0.25">
      <c r="A42" s="32"/>
      <c r="B42" s="69"/>
      <c r="C42" s="20"/>
      <c r="D42" s="20"/>
      <c r="E42" s="5"/>
      <c r="F42" s="5"/>
      <c r="G42" s="5"/>
      <c r="H42" s="5"/>
      <c r="I42" s="5"/>
      <c r="J42" s="5"/>
      <c r="K42" s="5"/>
      <c r="L42" s="5">
        <v>6000000</v>
      </c>
      <c r="M42" s="2" t="s">
        <v>284</v>
      </c>
      <c r="N42" s="28"/>
    </row>
    <row r="43" spans="1:14" ht="63" hidden="1" customHeight="1" x14ac:dyDescent="0.25">
      <c r="A43" s="32"/>
      <c r="B43" s="69"/>
      <c r="C43" s="20"/>
      <c r="D43" s="20"/>
      <c r="E43" s="5"/>
      <c r="F43" s="5"/>
      <c r="G43" s="5"/>
      <c r="H43" s="5"/>
      <c r="I43" s="5"/>
      <c r="J43" s="5"/>
      <c r="K43" s="5">
        <v>15571900</v>
      </c>
      <c r="L43" s="5">
        <v>15571900</v>
      </c>
      <c r="M43" s="2" t="s">
        <v>285</v>
      </c>
      <c r="N43" s="28"/>
    </row>
    <row r="44" spans="1:14" ht="47.25" hidden="1" customHeight="1" x14ac:dyDescent="0.25">
      <c r="A44" s="32"/>
      <c r="B44" s="69"/>
      <c r="C44" s="20"/>
      <c r="D44" s="20"/>
      <c r="E44" s="1"/>
      <c r="F44" s="1"/>
      <c r="G44" s="1"/>
      <c r="H44" s="1"/>
      <c r="I44" s="5"/>
      <c r="J44" s="5"/>
      <c r="K44" s="5">
        <f>1609700+667093</f>
        <v>2276793</v>
      </c>
      <c r="L44" s="5">
        <f>1609700+667093</f>
        <v>2276793</v>
      </c>
      <c r="M44" s="2" t="s">
        <v>286</v>
      </c>
      <c r="N44" s="28"/>
    </row>
    <row r="45" spans="1:14" ht="63" hidden="1" customHeight="1" x14ac:dyDescent="0.25">
      <c r="A45" s="32"/>
      <c r="B45" s="69"/>
      <c r="C45" s="20"/>
      <c r="D45" s="20"/>
      <c r="E45" s="1"/>
      <c r="F45" s="1"/>
      <c r="G45" s="1"/>
      <c r="H45" s="1"/>
      <c r="I45" s="5"/>
      <c r="J45" s="5"/>
      <c r="K45" s="5">
        <f>175000+410000+95000</f>
        <v>680000</v>
      </c>
      <c r="L45" s="5">
        <f>175000+410000+95000</f>
        <v>680000</v>
      </c>
      <c r="M45" s="2" t="s">
        <v>570</v>
      </c>
      <c r="N45" s="28"/>
    </row>
    <row r="46" spans="1:14" ht="31.5" hidden="1" customHeight="1" x14ac:dyDescent="0.25">
      <c r="A46" s="32"/>
      <c r="B46" s="69"/>
      <c r="C46" s="20"/>
      <c r="D46" s="20"/>
      <c r="E46" s="1"/>
      <c r="F46" s="1"/>
      <c r="G46" s="1"/>
      <c r="H46" s="1"/>
      <c r="I46" s="5"/>
      <c r="J46" s="5"/>
      <c r="K46" s="5">
        <f>135924+30000+15000</f>
        <v>180924</v>
      </c>
      <c r="L46" s="5">
        <f>135924+30000+15000</f>
        <v>180924</v>
      </c>
      <c r="M46" s="2" t="s">
        <v>287</v>
      </c>
      <c r="N46" s="28"/>
    </row>
    <row r="47" spans="1:14" ht="47.25" hidden="1" customHeight="1" x14ac:dyDescent="0.25">
      <c r="A47" s="32"/>
      <c r="B47" s="69"/>
      <c r="C47" s="20"/>
      <c r="D47" s="20"/>
      <c r="E47" s="1"/>
      <c r="F47" s="1"/>
      <c r="G47" s="1"/>
      <c r="H47" s="1"/>
      <c r="I47" s="5"/>
      <c r="J47" s="5"/>
      <c r="K47" s="5">
        <v>782000</v>
      </c>
      <c r="L47" s="5">
        <v>782000</v>
      </c>
      <c r="M47" s="2" t="s">
        <v>418</v>
      </c>
      <c r="N47" s="28"/>
    </row>
    <row r="48" spans="1:14" ht="47.25" hidden="1" customHeight="1" x14ac:dyDescent="0.25">
      <c r="A48" s="32"/>
      <c r="B48" s="69"/>
      <c r="C48" s="20"/>
      <c r="D48" s="20"/>
      <c r="E48" s="1"/>
      <c r="F48" s="1"/>
      <c r="G48" s="1"/>
      <c r="H48" s="1"/>
      <c r="I48" s="5"/>
      <c r="J48" s="5"/>
      <c r="K48" s="5">
        <v>125315</v>
      </c>
      <c r="L48" s="5">
        <v>125315</v>
      </c>
      <c r="M48" s="2" t="s">
        <v>428</v>
      </c>
      <c r="N48" s="28"/>
    </row>
    <row r="49" spans="1:14" ht="94.5" hidden="1" customHeight="1" x14ac:dyDescent="0.25">
      <c r="A49" s="32"/>
      <c r="B49" s="69"/>
      <c r="C49" s="20"/>
      <c r="D49" s="20"/>
      <c r="E49" s="1"/>
      <c r="F49" s="1"/>
      <c r="G49" s="1"/>
      <c r="H49" s="1"/>
      <c r="I49" s="5"/>
      <c r="J49" s="5"/>
      <c r="K49" s="5">
        <f>18648898+52047213+2419200+17330704+176089</f>
        <v>90622104</v>
      </c>
      <c r="L49" s="5">
        <f>18648898+52047213+2419200+17330704+176089</f>
        <v>90622104</v>
      </c>
      <c r="M49" s="2" t="s">
        <v>429</v>
      </c>
      <c r="N49" s="28"/>
    </row>
    <row r="50" spans="1:14" ht="63" hidden="1" customHeight="1" x14ac:dyDescent="0.25">
      <c r="A50" s="32"/>
      <c r="B50" s="69"/>
      <c r="C50" s="20"/>
      <c r="D50" s="20"/>
      <c r="E50" s="5"/>
      <c r="F50" s="5"/>
      <c r="G50" s="5"/>
      <c r="H50" s="5"/>
      <c r="I50" s="5"/>
      <c r="J50" s="5"/>
      <c r="K50" s="1">
        <f>1366488+111808+225000+1000000</f>
        <v>2703296</v>
      </c>
      <c r="L50" s="1">
        <f>1366488+111808+225000+1000000</f>
        <v>2703296</v>
      </c>
      <c r="M50" s="2" t="s">
        <v>430</v>
      </c>
      <c r="N50" s="28"/>
    </row>
    <row r="51" spans="1:14" ht="63" hidden="1" customHeight="1" x14ac:dyDescent="0.25">
      <c r="A51" s="32"/>
      <c r="B51" s="69"/>
      <c r="C51" s="9"/>
      <c r="D51" s="9"/>
      <c r="E51" s="5"/>
      <c r="F51" s="5"/>
      <c r="G51" s="5"/>
      <c r="H51" s="5"/>
      <c r="I51" s="5"/>
      <c r="J51" s="5"/>
      <c r="K51" s="1">
        <v>17000000</v>
      </c>
      <c r="L51" s="1">
        <v>17000000</v>
      </c>
      <c r="M51" s="2" t="s">
        <v>431</v>
      </c>
      <c r="N51" s="28"/>
    </row>
    <row r="52" spans="1:14" ht="47.25" hidden="1" customHeight="1" x14ac:dyDescent="0.25">
      <c r="A52" s="32"/>
      <c r="B52" s="69"/>
      <c r="C52" s="9"/>
      <c r="D52" s="9"/>
      <c r="E52" s="5"/>
      <c r="F52" s="5"/>
      <c r="G52" s="5"/>
      <c r="H52" s="5"/>
      <c r="I52" s="5"/>
      <c r="J52" s="5"/>
      <c r="K52" s="1">
        <v>770496</v>
      </c>
      <c r="L52" s="1">
        <v>770496</v>
      </c>
      <c r="M52" s="2" t="s">
        <v>571</v>
      </c>
      <c r="N52" s="28"/>
    </row>
    <row r="53" spans="1:14" ht="63" hidden="1" customHeight="1" x14ac:dyDescent="0.25">
      <c r="A53" s="32"/>
      <c r="B53" s="69"/>
      <c r="C53" s="9"/>
      <c r="D53" s="9"/>
      <c r="E53" s="5"/>
      <c r="F53" s="5"/>
      <c r="G53" s="5"/>
      <c r="H53" s="5"/>
      <c r="I53" s="5"/>
      <c r="J53" s="5"/>
      <c r="K53" s="5">
        <v>74014700</v>
      </c>
      <c r="L53" s="5">
        <v>74014700</v>
      </c>
      <c r="M53" s="2" t="s">
        <v>288</v>
      </c>
      <c r="N53" s="28"/>
    </row>
    <row r="54" spans="1:14" ht="114" x14ac:dyDescent="0.25">
      <c r="A54" s="32" t="s">
        <v>541</v>
      </c>
      <c r="B54" s="33" t="s">
        <v>542</v>
      </c>
      <c r="C54" s="10">
        <f>C55</f>
        <v>74217900</v>
      </c>
      <c r="D54" s="10"/>
      <c r="E54" s="10"/>
      <c r="F54" s="10"/>
      <c r="G54" s="10">
        <f t="shared" ref="G54:H54" si="6">G55</f>
        <v>30314400</v>
      </c>
      <c r="H54" s="10">
        <f t="shared" si="6"/>
        <v>0</v>
      </c>
      <c r="I54" s="5"/>
      <c r="J54" s="5"/>
      <c r="K54" s="5"/>
      <c r="L54" s="5"/>
      <c r="M54" s="2"/>
      <c r="N54" s="28"/>
    </row>
    <row r="55" spans="1:14" ht="45" x14ac:dyDescent="0.25">
      <c r="A55" s="34"/>
      <c r="B55" s="30" t="s">
        <v>44</v>
      </c>
      <c r="C55" s="7">
        <f>C56+C57</f>
        <v>74217900</v>
      </c>
      <c r="D55" s="7"/>
      <c r="E55" s="7"/>
      <c r="F55" s="7"/>
      <c r="G55" s="7">
        <f t="shared" ref="G55:L55" si="7">G56+G57</f>
        <v>30314400</v>
      </c>
      <c r="H55" s="7">
        <f t="shared" si="7"/>
        <v>0</v>
      </c>
      <c r="I55" s="7">
        <f t="shared" si="7"/>
        <v>0</v>
      </c>
      <c r="J55" s="7">
        <f t="shared" si="7"/>
        <v>0</v>
      </c>
      <c r="K55" s="7">
        <f t="shared" si="7"/>
        <v>0</v>
      </c>
      <c r="L55" s="7">
        <f t="shared" si="7"/>
        <v>0</v>
      </c>
      <c r="M55" s="2"/>
      <c r="N55" s="28"/>
    </row>
    <row r="56" spans="1:14" ht="94.5" x14ac:dyDescent="0.25">
      <c r="A56" s="34"/>
      <c r="B56" s="30"/>
      <c r="C56" s="7"/>
      <c r="D56" s="7"/>
      <c r="E56" s="5"/>
      <c r="F56" s="5"/>
      <c r="G56" s="1">
        <v>30314400</v>
      </c>
      <c r="H56" s="5"/>
      <c r="I56" s="5"/>
      <c r="J56" s="5"/>
      <c r="K56" s="5"/>
      <c r="L56" s="5"/>
      <c r="M56" s="2" t="s">
        <v>619</v>
      </c>
      <c r="N56" s="28"/>
    </row>
    <row r="57" spans="1:14" ht="63" x14ac:dyDescent="0.25">
      <c r="A57" s="34"/>
      <c r="B57" s="31"/>
      <c r="C57" s="1">
        <v>74217900</v>
      </c>
      <c r="D57" s="20"/>
      <c r="E57" s="1"/>
      <c r="F57" s="20"/>
      <c r="G57" s="20"/>
      <c r="H57" s="5"/>
      <c r="I57" s="5"/>
      <c r="J57" s="5"/>
      <c r="K57" s="5"/>
      <c r="L57" s="5"/>
      <c r="M57" s="2" t="s">
        <v>603</v>
      </c>
      <c r="N57" s="28"/>
    </row>
    <row r="58" spans="1:14" ht="71.25" x14ac:dyDescent="0.25">
      <c r="A58" s="32" t="s">
        <v>166</v>
      </c>
      <c r="B58" s="33" t="s">
        <v>47</v>
      </c>
      <c r="C58" s="10">
        <f t="shared" ref="C58:L58" si="8">C59+C87+C100+C106+C96+C93</f>
        <v>105430300</v>
      </c>
      <c r="D58" s="10"/>
      <c r="E58" s="10"/>
      <c r="F58" s="10"/>
      <c r="G58" s="10">
        <f t="shared" si="8"/>
        <v>712168523.66666663</v>
      </c>
      <c r="H58" s="10">
        <f t="shared" si="8"/>
        <v>17980532</v>
      </c>
      <c r="I58" s="10"/>
      <c r="J58" s="10"/>
      <c r="K58" s="10">
        <f t="shared" si="8"/>
        <v>97102918</v>
      </c>
      <c r="L58" s="10">
        <f t="shared" si="8"/>
        <v>96634388</v>
      </c>
      <c r="M58" s="2"/>
      <c r="N58" s="28"/>
    </row>
    <row r="59" spans="1:14" ht="57" x14ac:dyDescent="0.25">
      <c r="A59" s="32" t="s">
        <v>167</v>
      </c>
      <c r="B59" s="33" t="s">
        <v>48</v>
      </c>
      <c r="C59" s="10">
        <f>C60</f>
        <v>20875400</v>
      </c>
      <c r="D59" s="10"/>
      <c r="E59" s="10"/>
      <c r="F59" s="10"/>
      <c r="G59" s="10">
        <f t="shared" ref="G59:L59" si="9">G60</f>
        <v>648263415</v>
      </c>
      <c r="H59" s="10">
        <f t="shared" si="9"/>
        <v>17925807</v>
      </c>
      <c r="I59" s="10"/>
      <c r="J59" s="10"/>
      <c r="K59" s="10">
        <f t="shared" si="9"/>
        <v>65497767</v>
      </c>
      <c r="L59" s="10">
        <f t="shared" si="9"/>
        <v>65497767</v>
      </c>
      <c r="M59" s="2"/>
      <c r="N59" s="28"/>
    </row>
    <row r="60" spans="1:14" ht="30" x14ac:dyDescent="0.25">
      <c r="A60" s="32"/>
      <c r="B60" s="30" t="s">
        <v>49</v>
      </c>
      <c r="C60" s="7">
        <f>SUM(C61:C86)</f>
        <v>20875400</v>
      </c>
      <c r="D60" s="7"/>
      <c r="E60" s="7"/>
      <c r="F60" s="7"/>
      <c r="G60" s="7">
        <f t="shared" ref="G60:L60" si="10">SUM(G61:G86)</f>
        <v>648263415</v>
      </c>
      <c r="H60" s="7">
        <f t="shared" si="10"/>
        <v>17925807</v>
      </c>
      <c r="I60" s="7"/>
      <c r="J60" s="7"/>
      <c r="K60" s="7">
        <f t="shared" si="10"/>
        <v>65497767</v>
      </c>
      <c r="L60" s="7">
        <f t="shared" si="10"/>
        <v>65497767</v>
      </c>
      <c r="M60" s="2"/>
      <c r="N60" s="28"/>
    </row>
    <row r="61" spans="1:14" ht="45" hidden="1" customHeight="1" x14ac:dyDescent="0.25">
      <c r="A61" s="32"/>
      <c r="B61" s="39" t="s">
        <v>335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2"/>
      <c r="N61" s="28"/>
    </row>
    <row r="62" spans="1:14" ht="105" x14ac:dyDescent="0.25">
      <c r="A62" s="32"/>
      <c r="B62" s="70" t="s">
        <v>289</v>
      </c>
      <c r="C62" s="9">
        <v>20875400</v>
      </c>
      <c r="D62" s="9"/>
      <c r="E62" s="9"/>
      <c r="F62" s="9"/>
      <c r="G62" s="9"/>
      <c r="H62" s="9"/>
      <c r="I62" s="71"/>
      <c r="J62" s="71"/>
      <c r="K62" s="71"/>
      <c r="L62" s="71"/>
      <c r="M62" s="2" t="s">
        <v>620</v>
      </c>
      <c r="N62" s="28"/>
    </row>
    <row r="63" spans="1:14" ht="47.25" hidden="1" customHeight="1" x14ac:dyDescent="0.25">
      <c r="A63" s="32"/>
      <c r="B63" s="39"/>
      <c r="C63" s="9"/>
      <c r="D63" s="9"/>
      <c r="E63" s="9"/>
      <c r="F63" s="9"/>
      <c r="G63" s="9"/>
      <c r="H63" s="9"/>
      <c r="I63" s="9"/>
      <c r="J63" s="9"/>
      <c r="K63" s="9">
        <v>622426</v>
      </c>
      <c r="L63" s="9">
        <v>622426</v>
      </c>
      <c r="M63" s="2" t="s">
        <v>419</v>
      </c>
      <c r="N63" s="28"/>
    </row>
    <row r="64" spans="1:14" ht="47.25" hidden="1" customHeight="1" x14ac:dyDescent="0.25">
      <c r="A64" s="32"/>
      <c r="B64" s="39"/>
      <c r="C64" s="9"/>
      <c r="D64" s="9"/>
      <c r="E64" s="9"/>
      <c r="F64" s="9"/>
      <c r="G64" s="9"/>
      <c r="H64" s="9"/>
      <c r="I64" s="9"/>
      <c r="J64" s="9"/>
      <c r="K64" s="9">
        <v>500000</v>
      </c>
      <c r="L64" s="9">
        <v>500000</v>
      </c>
      <c r="M64" s="2" t="s">
        <v>420</v>
      </c>
      <c r="N64" s="28"/>
    </row>
    <row r="65" spans="1:14" ht="30" x14ac:dyDescent="0.25">
      <c r="A65" s="32"/>
      <c r="B65" s="39" t="s">
        <v>290</v>
      </c>
      <c r="C65" s="9"/>
      <c r="D65" s="9"/>
      <c r="E65" s="9"/>
      <c r="F65" s="9"/>
      <c r="G65" s="9">
        <v>10000000</v>
      </c>
      <c r="H65" s="9"/>
      <c r="I65" s="9"/>
      <c r="J65" s="9"/>
      <c r="K65" s="9"/>
      <c r="L65" s="9"/>
      <c r="M65" s="2" t="s">
        <v>432</v>
      </c>
      <c r="N65" s="28"/>
    </row>
    <row r="66" spans="1:14" ht="31.5" x14ac:dyDescent="0.25">
      <c r="A66" s="32"/>
      <c r="B66" s="39" t="s">
        <v>291</v>
      </c>
      <c r="C66" s="9"/>
      <c r="D66" s="9"/>
      <c r="E66" s="9"/>
      <c r="F66" s="9"/>
      <c r="G66" s="9">
        <v>73125000</v>
      </c>
      <c r="H66" s="9"/>
      <c r="I66" s="9"/>
      <c r="J66" s="9"/>
      <c r="K66" s="9"/>
      <c r="L66" s="9"/>
      <c r="M66" s="2" t="s">
        <v>621</v>
      </c>
      <c r="N66" s="28"/>
    </row>
    <row r="67" spans="1:14" ht="47.25" x14ac:dyDescent="0.25">
      <c r="A67" s="32"/>
      <c r="B67" s="39" t="s">
        <v>509</v>
      </c>
      <c r="C67" s="9"/>
      <c r="D67" s="9"/>
      <c r="E67" s="9"/>
      <c r="F67" s="9"/>
      <c r="G67" s="9">
        <v>5000000</v>
      </c>
      <c r="H67" s="9"/>
      <c r="I67" s="9"/>
      <c r="J67" s="9"/>
      <c r="K67" s="9"/>
      <c r="L67" s="9"/>
      <c r="M67" s="2" t="s">
        <v>433</v>
      </c>
      <c r="N67" s="28"/>
    </row>
    <row r="68" spans="1:14" ht="31.5" hidden="1" customHeight="1" x14ac:dyDescent="0.25">
      <c r="A68" s="32"/>
      <c r="B68" s="39"/>
      <c r="C68" s="7"/>
      <c r="D68" s="7"/>
      <c r="E68" s="7"/>
      <c r="F68" s="7"/>
      <c r="G68" s="7"/>
      <c r="H68" s="7"/>
      <c r="I68" s="7"/>
      <c r="J68" s="7"/>
      <c r="K68" s="7">
        <f>50600+9700</f>
        <v>60300</v>
      </c>
      <c r="L68" s="7">
        <f>50600+9700</f>
        <v>60300</v>
      </c>
      <c r="M68" s="2" t="s">
        <v>434</v>
      </c>
      <c r="N68" s="28"/>
    </row>
    <row r="69" spans="1:14" ht="31.5" hidden="1" customHeight="1" x14ac:dyDescent="0.25">
      <c r="A69" s="32"/>
      <c r="B69" s="39"/>
      <c r="C69" s="7"/>
      <c r="D69" s="7"/>
      <c r="E69" s="7"/>
      <c r="F69" s="7"/>
      <c r="G69" s="7"/>
      <c r="H69" s="7"/>
      <c r="I69" s="7"/>
      <c r="J69" s="7"/>
      <c r="K69" s="7">
        <v>80344</v>
      </c>
      <c r="L69" s="7">
        <v>80344</v>
      </c>
      <c r="M69" s="2" t="s">
        <v>435</v>
      </c>
      <c r="N69" s="28"/>
    </row>
    <row r="70" spans="1:14" ht="63" hidden="1" customHeight="1" x14ac:dyDescent="0.25">
      <c r="A70" s="32"/>
      <c r="B70" s="70"/>
      <c r="C70" s="9"/>
      <c r="D70" s="9"/>
      <c r="E70" s="9"/>
      <c r="F70" s="9"/>
      <c r="G70" s="9"/>
      <c r="H70" s="9"/>
      <c r="I70" s="9"/>
      <c r="J70" s="9"/>
      <c r="K70" s="9">
        <v>176553</v>
      </c>
      <c r="L70" s="9">
        <v>176553</v>
      </c>
      <c r="M70" s="2" t="s">
        <v>436</v>
      </c>
      <c r="N70" s="28"/>
    </row>
    <row r="71" spans="1:14" ht="47.25" hidden="1" customHeight="1" x14ac:dyDescent="0.25">
      <c r="A71" s="32"/>
      <c r="B71" s="70"/>
      <c r="C71" s="9"/>
      <c r="D71" s="9"/>
      <c r="E71" s="9"/>
      <c r="F71" s="9"/>
      <c r="G71" s="9"/>
      <c r="H71" s="9"/>
      <c r="I71" s="9"/>
      <c r="J71" s="9"/>
      <c r="K71" s="9">
        <f>722807+3910000+1000000</f>
        <v>5632807</v>
      </c>
      <c r="L71" s="9">
        <f>722807+3910000+1000000</f>
        <v>5632807</v>
      </c>
      <c r="M71" s="2" t="s">
        <v>512</v>
      </c>
      <c r="N71" s="28"/>
    </row>
    <row r="72" spans="1:14" ht="63" hidden="1" customHeight="1" x14ac:dyDescent="0.25">
      <c r="A72" s="32"/>
      <c r="B72" s="70"/>
      <c r="C72" s="9"/>
      <c r="D72" s="9"/>
      <c r="E72" s="9"/>
      <c r="F72" s="9"/>
      <c r="G72" s="9"/>
      <c r="H72" s="9"/>
      <c r="I72" s="9"/>
      <c r="J72" s="9"/>
      <c r="K72" s="9">
        <f>32322785+25142608</f>
        <v>57465393</v>
      </c>
      <c r="L72" s="9">
        <f>32322785+25142608</f>
        <v>57465393</v>
      </c>
      <c r="M72" s="2" t="s">
        <v>437</v>
      </c>
      <c r="N72" s="28"/>
    </row>
    <row r="73" spans="1:14" ht="31.5" hidden="1" customHeight="1" x14ac:dyDescent="0.25">
      <c r="A73" s="32"/>
      <c r="B73" s="70"/>
      <c r="C73" s="9"/>
      <c r="D73" s="9"/>
      <c r="E73" s="9"/>
      <c r="F73" s="9"/>
      <c r="G73" s="9"/>
      <c r="H73" s="9"/>
      <c r="I73" s="9"/>
      <c r="J73" s="9"/>
      <c r="K73" s="9">
        <v>4944</v>
      </c>
      <c r="L73" s="9">
        <v>4944</v>
      </c>
      <c r="M73" s="2" t="s">
        <v>438</v>
      </c>
      <c r="N73" s="28"/>
    </row>
    <row r="74" spans="1:14" ht="30" x14ac:dyDescent="0.25">
      <c r="A74" s="32"/>
      <c r="B74" s="50" t="s">
        <v>292</v>
      </c>
      <c r="C74" s="51"/>
      <c r="D74" s="51"/>
      <c r="E74" s="12"/>
      <c r="F74" s="29"/>
      <c r="G74" s="12">
        <f>13482000+5349000</f>
        <v>18831000</v>
      </c>
      <c r="H74" s="29"/>
      <c r="I74" s="12"/>
      <c r="J74" s="12"/>
      <c r="K74" s="12"/>
      <c r="L74" s="12"/>
      <c r="M74" s="68" t="s">
        <v>561</v>
      </c>
      <c r="N74" s="28"/>
    </row>
    <row r="75" spans="1:14" ht="15.75" hidden="1" x14ac:dyDescent="0.25">
      <c r="A75" s="32"/>
      <c r="B75" s="50"/>
      <c r="C75" s="51"/>
      <c r="D75" s="51"/>
      <c r="E75" s="12"/>
      <c r="F75" s="29"/>
      <c r="G75" s="12"/>
      <c r="H75" s="29"/>
      <c r="I75" s="12"/>
      <c r="J75" s="12"/>
      <c r="K75" s="12"/>
      <c r="L75" s="12"/>
      <c r="M75" s="68"/>
      <c r="N75" s="28"/>
    </row>
    <row r="76" spans="1:14" ht="47.25" x14ac:dyDescent="0.25">
      <c r="A76" s="32"/>
      <c r="B76" s="72" t="s">
        <v>292</v>
      </c>
      <c r="C76" s="7"/>
      <c r="D76" s="7"/>
      <c r="E76" s="9"/>
      <c r="F76" s="11"/>
      <c r="G76" s="9">
        <v>72337000</v>
      </c>
      <c r="H76" s="11"/>
      <c r="I76" s="7"/>
      <c r="J76" s="7"/>
      <c r="K76" s="7"/>
      <c r="L76" s="7"/>
      <c r="M76" s="2" t="s">
        <v>439</v>
      </c>
      <c r="N76" s="28"/>
    </row>
    <row r="77" spans="1:14" ht="15.75" hidden="1" customHeight="1" x14ac:dyDescent="0.25">
      <c r="A77" s="32"/>
      <c r="B77" s="50"/>
      <c r="C77" s="7"/>
      <c r="D77" s="7"/>
      <c r="E77" s="9"/>
      <c r="F77" s="11"/>
      <c r="G77" s="9"/>
      <c r="H77" s="11"/>
      <c r="I77" s="7"/>
      <c r="J77" s="7"/>
      <c r="K77" s="7"/>
      <c r="L77" s="7"/>
      <c r="M77" s="2"/>
      <c r="N77" s="28"/>
    </row>
    <row r="78" spans="1:14" ht="31.5" x14ac:dyDescent="0.25">
      <c r="A78" s="32"/>
      <c r="B78" s="50" t="s">
        <v>293</v>
      </c>
      <c r="C78" s="7"/>
      <c r="D78" s="7"/>
      <c r="E78" s="9"/>
      <c r="F78" s="11"/>
      <c r="G78" s="9">
        <v>1500000</v>
      </c>
      <c r="H78" s="11"/>
      <c r="I78" s="7"/>
      <c r="J78" s="7"/>
      <c r="K78" s="7"/>
      <c r="L78" s="7"/>
      <c r="M78" s="2" t="s">
        <v>622</v>
      </c>
      <c r="N78" s="28"/>
    </row>
    <row r="79" spans="1:14" ht="60" x14ac:dyDescent="0.25">
      <c r="A79" s="32"/>
      <c r="B79" s="73" t="s">
        <v>294</v>
      </c>
      <c r="C79" s="7"/>
      <c r="D79" s="7"/>
      <c r="E79" s="9"/>
      <c r="F79" s="11"/>
      <c r="G79" s="9">
        <f>46957151+101165600+74372300</f>
        <v>222495051</v>
      </c>
      <c r="H79" s="11"/>
      <c r="I79" s="7"/>
      <c r="J79" s="7"/>
      <c r="K79" s="7"/>
      <c r="L79" s="7"/>
      <c r="M79" s="2" t="s">
        <v>561</v>
      </c>
      <c r="N79" s="28"/>
    </row>
    <row r="80" spans="1:14" ht="75" x14ac:dyDescent="0.25">
      <c r="A80" s="32"/>
      <c r="B80" s="73" t="s">
        <v>295</v>
      </c>
      <c r="C80" s="9"/>
      <c r="D80" s="9"/>
      <c r="E80" s="9"/>
      <c r="F80" s="11"/>
      <c r="G80" s="9">
        <f>24185619+79804100+131500+81659000</f>
        <v>185780219</v>
      </c>
      <c r="H80" s="11"/>
      <c r="I80" s="9"/>
      <c r="J80" s="9"/>
      <c r="K80" s="9"/>
      <c r="L80" s="9"/>
      <c r="M80" s="2" t="s">
        <v>561</v>
      </c>
      <c r="N80" s="28"/>
    </row>
    <row r="81" spans="1:14" ht="105" x14ac:dyDescent="0.25">
      <c r="A81" s="32"/>
      <c r="B81" s="73" t="s">
        <v>296</v>
      </c>
      <c r="C81" s="9"/>
      <c r="D81" s="9"/>
      <c r="E81" s="9"/>
      <c r="F81" s="11"/>
      <c r="G81" s="9">
        <f>2901800+1237200</f>
        <v>4139000</v>
      </c>
      <c r="H81" s="11"/>
      <c r="I81" s="9"/>
      <c r="J81" s="9"/>
      <c r="K81" s="9"/>
      <c r="L81" s="9"/>
      <c r="M81" s="2" t="s">
        <v>440</v>
      </c>
      <c r="N81" s="28"/>
    </row>
    <row r="82" spans="1:14" ht="45" x14ac:dyDescent="0.25">
      <c r="A82" s="32"/>
      <c r="B82" s="73" t="s">
        <v>297</v>
      </c>
      <c r="C82" s="9"/>
      <c r="D82" s="9"/>
      <c r="E82" s="9"/>
      <c r="F82" s="11"/>
      <c r="G82" s="9">
        <v>9756145</v>
      </c>
      <c r="H82" s="11"/>
      <c r="I82" s="9"/>
      <c r="J82" s="9"/>
      <c r="K82" s="9">
        <v>900000</v>
      </c>
      <c r="L82" s="9"/>
      <c r="M82" s="2" t="s">
        <v>539</v>
      </c>
      <c r="N82" s="28"/>
    </row>
    <row r="83" spans="1:14" ht="90" hidden="1" customHeight="1" x14ac:dyDescent="0.25">
      <c r="A83" s="32"/>
      <c r="B83" s="73" t="s">
        <v>298</v>
      </c>
      <c r="C83" s="9"/>
      <c r="D83" s="9"/>
      <c r="E83" s="9"/>
      <c r="F83" s="11"/>
      <c r="G83" s="9"/>
      <c r="H83" s="11"/>
      <c r="I83" s="9"/>
      <c r="J83" s="9"/>
      <c r="K83" s="9"/>
      <c r="L83" s="9">
        <v>900000</v>
      </c>
      <c r="M83" s="2" t="s">
        <v>421</v>
      </c>
      <c r="N83" s="28"/>
    </row>
    <row r="84" spans="1:14" ht="107.25" customHeight="1" x14ac:dyDescent="0.25">
      <c r="A84" s="32"/>
      <c r="B84" s="73" t="s">
        <v>299</v>
      </c>
      <c r="C84" s="9"/>
      <c r="D84" s="9"/>
      <c r="E84" s="9"/>
      <c r="F84" s="11"/>
      <c r="G84" s="9">
        <v>45300000</v>
      </c>
      <c r="H84" s="11"/>
      <c r="I84" s="9"/>
      <c r="J84" s="9"/>
      <c r="K84" s="9"/>
      <c r="L84" s="9"/>
      <c r="M84" s="2" t="s">
        <v>422</v>
      </c>
      <c r="N84" s="28"/>
    </row>
    <row r="85" spans="1:14" ht="75" x14ac:dyDescent="0.25">
      <c r="A85" s="32"/>
      <c r="B85" s="73" t="s">
        <v>300</v>
      </c>
      <c r="C85" s="9"/>
      <c r="D85" s="9"/>
      <c r="E85" s="9"/>
      <c r="F85" s="11"/>
      <c r="G85" s="9"/>
      <c r="H85" s="9">
        <v>17925807</v>
      </c>
      <c r="I85" s="9"/>
      <c r="J85" s="9"/>
      <c r="K85" s="9"/>
      <c r="L85" s="9"/>
      <c r="M85" s="2" t="s">
        <v>593</v>
      </c>
      <c r="N85" s="28"/>
    </row>
    <row r="86" spans="1:14" ht="90" hidden="1" customHeight="1" x14ac:dyDescent="0.25">
      <c r="A86" s="32"/>
      <c r="B86" s="73" t="s">
        <v>301</v>
      </c>
      <c r="C86" s="9"/>
      <c r="D86" s="9"/>
      <c r="E86" s="9"/>
      <c r="F86" s="11"/>
      <c r="G86" s="9"/>
      <c r="H86" s="11"/>
      <c r="I86" s="9"/>
      <c r="J86" s="9"/>
      <c r="K86" s="9">
        <v>55000</v>
      </c>
      <c r="L86" s="9">
        <v>55000</v>
      </c>
      <c r="M86" s="2" t="s">
        <v>441</v>
      </c>
      <c r="N86" s="28"/>
    </row>
    <row r="87" spans="1:14" ht="71.25" x14ac:dyDescent="0.25">
      <c r="A87" s="34" t="s">
        <v>66</v>
      </c>
      <c r="B87" s="33" t="s">
        <v>67</v>
      </c>
      <c r="C87" s="74">
        <f>C88</f>
        <v>84554900</v>
      </c>
      <c r="D87" s="74"/>
      <c r="E87" s="74"/>
      <c r="F87" s="74"/>
      <c r="G87" s="74">
        <f t="shared" ref="G87:L88" si="11">G88</f>
        <v>61133692</v>
      </c>
      <c r="H87" s="74">
        <f t="shared" si="11"/>
        <v>0</v>
      </c>
      <c r="I87" s="74"/>
      <c r="J87" s="74"/>
      <c r="K87" s="74">
        <f t="shared" si="11"/>
        <v>1050220</v>
      </c>
      <c r="L87" s="74">
        <f t="shared" si="11"/>
        <v>0</v>
      </c>
      <c r="M87" s="2"/>
      <c r="N87" s="28"/>
    </row>
    <row r="88" spans="1:14" s="77" customFormat="1" ht="30" x14ac:dyDescent="0.25">
      <c r="A88" s="75"/>
      <c r="B88" s="30" t="s">
        <v>65</v>
      </c>
      <c r="C88" s="76">
        <f>C89</f>
        <v>84554900</v>
      </c>
      <c r="D88" s="76"/>
      <c r="E88" s="76"/>
      <c r="F88" s="76"/>
      <c r="G88" s="76">
        <f t="shared" si="11"/>
        <v>61133692</v>
      </c>
      <c r="H88" s="76">
        <f t="shared" si="11"/>
        <v>0</v>
      </c>
      <c r="I88" s="76"/>
      <c r="J88" s="76"/>
      <c r="K88" s="76">
        <f t="shared" si="11"/>
        <v>1050220</v>
      </c>
      <c r="L88" s="76">
        <f t="shared" si="11"/>
        <v>0</v>
      </c>
      <c r="M88" s="2"/>
      <c r="N88" s="28"/>
    </row>
    <row r="89" spans="1:14" ht="75" x14ac:dyDescent="0.25">
      <c r="A89" s="34"/>
      <c r="B89" s="39" t="s">
        <v>253</v>
      </c>
      <c r="C89" s="5">
        <f t="shared" ref="C89" si="12">C90+C92</f>
        <v>84554900</v>
      </c>
      <c r="D89" s="5"/>
      <c r="E89" s="5"/>
      <c r="F89" s="5"/>
      <c r="G89" s="5">
        <f>G90+G92</f>
        <v>61133692</v>
      </c>
      <c r="H89" s="5">
        <f t="shared" ref="H89:L89" si="13">H90+H92</f>
        <v>0</v>
      </c>
      <c r="I89" s="5"/>
      <c r="J89" s="5"/>
      <c r="K89" s="5">
        <f t="shared" si="13"/>
        <v>1050220</v>
      </c>
      <c r="L89" s="5">
        <f t="shared" si="13"/>
        <v>0</v>
      </c>
      <c r="M89" s="2"/>
      <c r="N89" s="28"/>
    </row>
    <row r="90" spans="1:14" ht="210.75" customHeight="1" x14ac:dyDescent="0.25">
      <c r="A90" s="34"/>
      <c r="B90" s="39" t="s">
        <v>623</v>
      </c>
      <c r="C90" s="5"/>
      <c r="D90" s="5"/>
      <c r="E90" s="5"/>
      <c r="F90" s="5"/>
      <c r="G90" s="18">
        <f>50376831-10271127-13508521</f>
        <v>26597183</v>
      </c>
      <c r="H90" s="5"/>
      <c r="I90" s="5"/>
      <c r="J90" s="5"/>
      <c r="K90" s="5">
        <v>1050220</v>
      </c>
      <c r="L90" s="5"/>
      <c r="M90" s="2" t="s">
        <v>671</v>
      </c>
      <c r="N90" s="28"/>
    </row>
    <row r="91" spans="1:14" ht="77.25" hidden="1" customHeight="1" x14ac:dyDescent="0.25">
      <c r="A91" s="34"/>
      <c r="B91" s="39"/>
      <c r="C91" s="5"/>
      <c r="D91" s="5"/>
      <c r="E91" s="5"/>
      <c r="F91" s="5"/>
      <c r="G91" s="18"/>
      <c r="H91" s="5"/>
      <c r="I91" s="5"/>
      <c r="J91" s="5"/>
      <c r="K91" s="5"/>
      <c r="L91" s="5"/>
      <c r="M91" s="2"/>
      <c r="N91" s="28"/>
    </row>
    <row r="92" spans="1:14" ht="126.75" customHeight="1" x14ac:dyDescent="0.25">
      <c r="A92" s="34"/>
      <c r="B92" s="39" t="s">
        <v>624</v>
      </c>
      <c r="C92" s="5">
        <v>84554900</v>
      </c>
      <c r="D92" s="5"/>
      <c r="E92" s="5"/>
      <c r="F92" s="5"/>
      <c r="G92" s="5">
        <v>34536509</v>
      </c>
      <c r="H92" s="5"/>
      <c r="I92" s="5"/>
      <c r="J92" s="5"/>
      <c r="K92" s="5"/>
      <c r="L92" s="5"/>
      <c r="M92" s="2" t="s">
        <v>672</v>
      </c>
      <c r="N92" s="28"/>
    </row>
    <row r="93" spans="1:14" ht="57" hidden="1" customHeight="1" x14ac:dyDescent="0.25">
      <c r="A93" s="34" t="s">
        <v>217</v>
      </c>
      <c r="B93" s="33" t="s">
        <v>218</v>
      </c>
      <c r="C93" s="5">
        <f>C94</f>
        <v>0</v>
      </c>
      <c r="D93" s="5"/>
      <c r="E93" s="5"/>
      <c r="F93" s="5"/>
      <c r="G93" s="5">
        <f t="shared" ref="G93:L93" si="14">G94</f>
        <v>0</v>
      </c>
      <c r="H93" s="5">
        <f t="shared" si="14"/>
        <v>0</v>
      </c>
      <c r="I93" s="5"/>
      <c r="J93" s="5"/>
      <c r="K93" s="5">
        <f t="shared" si="14"/>
        <v>0</v>
      </c>
      <c r="L93" s="5">
        <f t="shared" si="14"/>
        <v>0</v>
      </c>
      <c r="M93" s="2"/>
      <c r="N93" s="28"/>
    </row>
    <row r="94" spans="1:14" ht="30" hidden="1" customHeight="1" x14ac:dyDescent="0.25">
      <c r="A94" s="34"/>
      <c r="B94" s="30" t="s">
        <v>65</v>
      </c>
      <c r="C94" s="5">
        <f>C95</f>
        <v>0</v>
      </c>
      <c r="D94" s="5"/>
      <c r="E94" s="5"/>
      <c r="F94" s="5"/>
      <c r="G94" s="5">
        <f t="shared" ref="G94:L94" si="15">G95</f>
        <v>0</v>
      </c>
      <c r="H94" s="5">
        <f t="shared" si="15"/>
        <v>0</v>
      </c>
      <c r="I94" s="5"/>
      <c r="J94" s="5"/>
      <c r="K94" s="5">
        <f t="shared" si="15"/>
        <v>0</v>
      </c>
      <c r="L94" s="5">
        <f t="shared" si="15"/>
        <v>0</v>
      </c>
      <c r="M94" s="2"/>
      <c r="N94" s="28"/>
    </row>
    <row r="95" spans="1:14" ht="15.75" hidden="1" customHeight="1" x14ac:dyDescent="0.25">
      <c r="A95" s="34"/>
      <c r="B95" s="39"/>
      <c r="C95" s="5"/>
      <c r="D95" s="5"/>
      <c r="E95" s="5"/>
      <c r="F95" s="5"/>
      <c r="G95" s="5"/>
      <c r="H95" s="5"/>
      <c r="I95" s="5"/>
      <c r="J95" s="5"/>
      <c r="K95" s="5"/>
      <c r="L95" s="5"/>
      <c r="M95" s="2"/>
      <c r="N95" s="28"/>
    </row>
    <row r="96" spans="1:14" ht="71.25" hidden="1" customHeight="1" x14ac:dyDescent="0.25">
      <c r="A96" s="34" t="s">
        <v>144</v>
      </c>
      <c r="B96" s="33" t="s">
        <v>145</v>
      </c>
      <c r="C96" s="74">
        <f>C97</f>
        <v>0</v>
      </c>
      <c r="D96" s="74"/>
      <c r="E96" s="74"/>
      <c r="F96" s="74"/>
      <c r="G96" s="74">
        <f t="shared" ref="G96:L96" si="16">G97</f>
        <v>0</v>
      </c>
      <c r="H96" s="74">
        <f t="shared" si="16"/>
        <v>0</v>
      </c>
      <c r="I96" s="74"/>
      <c r="J96" s="74"/>
      <c r="K96" s="74">
        <f t="shared" si="16"/>
        <v>29054931</v>
      </c>
      <c r="L96" s="74">
        <f t="shared" si="16"/>
        <v>29054931</v>
      </c>
      <c r="M96" s="2"/>
      <c r="N96" s="28"/>
    </row>
    <row r="97" spans="1:14" ht="30" hidden="1" customHeight="1" x14ac:dyDescent="0.25">
      <c r="A97" s="34"/>
      <c r="B97" s="30" t="s">
        <v>49</v>
      </c>
      <c r="C97" s="76">
        <f>SUM(C98:C99)</f>
        <v>0</v>
      </c>
      <c r="D97" s="76"/>
      <c r="E97" s="76"/>
      <c r="F97" s="76"/>
      <c r="G97" s="76">
        <f t="shared" ref="G97:L97" si="17">SUM(G98:G99)</f>
        <v>0</v>
      </c>
      <c r="H97" s="76">
        <f t="shared" si="17"/>
        <v>0</v>
      </c>
      <c r="I97" s="76"/>
      <c r="J97" s="76"/>
      <c r="K97" s="76">
        <f t="shared" si="17"/>
        <v>29054931</v>
      </c>
      <c r="L97" s="76">
        <f t="shared" si="17"/>
        <v>29054931</v>
      </c>
      <c r="M97" s="2"/>
      <c r="N97" s="28"/>
    </row>
    <row r="98" spans="1:14" ht="68.25" hidden="1" customHeight="1" x14ac:dyDescent="0.25">
      <c r="A98" s="34"/>
      <c r="B98" s="39"/>
      <c r="C98" s="5"/>
      <c r="D98" s="5"/>
      <c r="E98" s="5"/>
      <c r="F98" s="5"/>
      <c r="G98" s="5"/>
      <c r="H98" s="5"/>
      <c r="I98" s="5"/>
      <c r="J98" s="5"/>
      <c r="K98" s="5"/>
      <c r="L98" s="5"/>
      <c r="M98" s="2"/>
      <c r="N98" s="28"/>
    </row>
    <row r="99" spans="1:14" ht="31.5" hidden="1" customHeight="1" x14ac:dyDescent="0.25">
      <c r="A99" s="34"/>
      <c r="B99" s="39"/>
      <c r="C99" s="74"/>
      <c r="D99" s="74"/>
      <c r="E99" s="5"/>
      <c r="F99" s="74"/>
      <c r="G99" s="5"/>
      <c r="H99" s="74"/>
      <c r="I99" s="5"/>
      <c r="J99" s="5"/>
      <c r="K99" s="5">
        <f>3349578+830000+790000+24085353</f>
        <v>29054931</v>
      </c>
      <c r="L99" s="5">
        <f>3349578+830000+790000+24085353</f>
        <v>29054931</v>
      </c>
      <c r="M99" s="2" t="s">
        <v>442</v>
      </c>
      <c r="N99" s="28"/>
    </row>
    <row r="100" spans="1:14" ht="57" x14ac:dyDescent="0.25">
      <c r="A100" s="32" t="s">
        <v>50</v>
      </c>
      <c r="B100" s="66" t="s">
        <v>51</v>
      </c>
      <c r="C100" s="10">
        <f>C101</f>
        <v>0</v>
      </c>
      <c r="D100" s="10"/>
      <c r="E100" s="10"/>
      <c r="F100" s="10"/>
      <c r="G100" s="10">
        <f t="shared" ref="G100:L100" si="18">G101</f>
        <v>1271416.6666666665</v>
      </c>
      <c r="H100" s="10">
        <f t="shared" si="18"/>
        <v>54725</v>
      </c>
      <c r="I100" s="10"/>
      <c r="J100" s="10"/>
      <c r="K100" s="10">
        <f t="shared" si="18"/>
        <v>0</v>
      </c>
      <c r="L100" s="10">
        <f t="shared" si="18"/>
        <v>581690</v>
      </c>
      <c r="M100" s="2"/>
      <c r="N100" s="28"/>
    </row>
    <row r="101" spans="1:14" ht="60" x14ac:dyDescent="0.25">
      <c r="A101" s="32"/>
      <c r="B101" s="30" t="s">
        <v>157</v>
      </c>
      <c r="C101" s="7">
        <f t="shared" ref="C101" si="19">SUM(C102:C105)</f>
        <v>0</v>
      </c>
      <c r="D101" s="7"/>
      <c r="E101" s="7"/>
      <c r="F101" s="7"/>
      <c r="G101" s="7">
        <f t="shared" ref="G101:H101" si="20">SUM(G102:G105)</f>
        <v>1271416.6666666665</v>
      </c>
      <c r="H101" s="7">
        <f t="shared" si="20"/>
        <v>54725</v>
      </c>
      <c r="I101" s="7"/>
      <c r="J101" s="7"/>
      <c r="K101" s="7">
        <f>SUM(K102:K105)</f>
        <v>0</v>
      </c>
      <c r="L101" s="7">
        <f>SUM(L102:L105)</f>
        <v>581690</v>
      </c>
      <c r="M101" s="2"/>
      <c r="N101" s="28"/>
    </row>
    <row r="102" spans="1:14" ht="30" hidden="1" customHeight="1" x14ac:dyDescent="0.25">
      <c r="A102" s="32"/>
      <c r="B102" s="70" t="s">
        <v>292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2"/>
      <c r="N102" s="28"/>
    </row>
    <row r="103" spans="1:14" ht="30" x14ac:dyDescent="0.25">
      <c r="A103" s="32"/>
      <c r="B103" s="50" t="s">
        <v>292</v>
      </c>
      <c r="C103" s="9"/>
      <c r="D103" s="9"/>
      <c r="E103" s="9"/>
      <c r="F103" s="9"/>
      <c r="G103" s="1">
        <v>1271416.6666666665</v>
      </c>
      <c r="H103" s="9"/>
      <c r="I103" s="9"/>
      <c r="J103" s="9"/>
      <c r="K103" s="9"/>
      <c r="L103" s="9"/>
      <c r="M103" s="2" t="s">
        <v>561</v>
      </c>
      <c r="N103" s="28"/>
    </row>
    <row r="104" spans="1:14" ht="31.5" x14ac:dyDescent="0.25">
      <c r="A104" s="32"/>
      <c r="B104" s="39"/>
      <c r="C104" s="5"/>
      <c r="D104" s="5"/>
      <c r="E104" s="5"/>
      <c r="F104" s="5"/>
      <c r="G104" s="5"/>
      <c r="H104" s="5">
        <v>54725</v>
      </c>
      <c r="I104" s="5"/>
      <c r="J104" s="5"/>
      <c r="K104" s="5"/>
      <c r="L104" s="5"/>
      <c r="M104" s="2" t="s">
        <v>625</v>
      </c>
      <c r="N104" s="28"/>
    </row>
    <row r="105" spans="1:14" ht="94.5" hidden="1" customHeight="1" x14ac:dyDescent="0.25">
      <c r="A105" s="32"/>
      <c r="B105" s="39"/>
      <c r="C105" s="5"/>
      <c r="D105" s="5"/>
      <c r="E105" s="5"/>
      <c r="F105" s="5"/>
      <c r="G105" s="5"/>
      <c r="H105" s="5"/>
      <c r="I105" s="5"/>
      <c r="J105" s="5"/>
      <c r="K105" s="5"/>
      <c r="L105" s="5">
        <v>581690</v>
      </c>
      <c r="M105" s="2" t="s">
        <v>443</v>
      </c>
      <c r="N105" s="28"/>
    </row>
    <row r="106" spans="1:14" ht="85.5" x14ac:dyDescent="0.25">
      <c r="A106" s="32" t="s">
        <v>74</v>
      </c>
      <c r="B106" s="33" t="s">
        <v>52</v>
      </c>
      <c r="C106" s="74">
        <f>C107+C109</f>
        <v>0</v>
      </c>
      <c r="D106" s="74"/>
      <c r="E106" s="74"/>
      <c r="F106" s="74"/>
      <c r="G106" s="74">
        <f t="shared" ref="G106:H106" si="21">G107+G109</f>
        <v>1500000</v>
      </c>
      <c r="H106" s="74">
        <f t="shared" si="21"/>
        <v>0</v>
      </c>
      <c r="I106" s="74"/>
      <c r="J106" s="74"/>
      <c r="K106" s="74">
        <f t="shared" ref="K106:L106" si="22">K107+K109</f>
        <v>1500000</v>
      </c>
      <c r="L106" s="74">
        <f t="shared" si="22"/>
        <v>1500000</v>
      </c>
      <c r="M106" s="2"/>
      <c r="N106" s="28"/>
    </row>
    <row r="107" spans="1:14" ht="30" hidden="1" customHeight="1" x14ac:dyDescent="0.25">
      <c r="A107" s="78"/>
      <c r="B107" s="30" t="s">
        <v>49</v>
      </c>
      <c r="C107" s="76">
        <f>C108</f>
        <v>0</v>
      </c>
      <c r="D107" s="76"/>
      <c r="E107" s="76"/>
      <c r="F107" s="76"/>
      <c r="G107" s="76">
        <f t="shared" ref="G107:L107" si="23">G108</f>
        <v>0</v>
      </c>
      <c r="H107" s="76">
        <f t="shared" si="23"/>
        <v>0</v>
      </c>
      <c r="I107" s="76"/>
      <c r="J107" s="76"/>
      <c r="K107" s="76">
        <f t="shared" si="23"/>
        <v>0</v>
      </c>
      <c r="L107" s="76">
        <f t="shared" si="23"/>
        <v>0</v>
      </c>
      <c r="M107" s="2"/>
      <c r="N107" s="28"/>
    </row>
    <row r="108" spans="1:14" ht="15.75" hidden="1" customHeight="1" x14ac:dyDescent="0.25">
      <c r="A108" s="78"/>
      <c r="B108" s="39"/>
      <c r="C108" s="7"/>
      <c r="D108" s="7"/>
      <c r="E108" s="5"/>
      <c r="F108" s="5"/>
      <c r="G108" s="5"/>
      <c r="H108" s="5"/>
      <c r="I108" s="5"/>
      <c r="J108" s="5"/>
      <c r="K108" s="5"/>
      <c r="L108" s="5"/>
      <c r="M108" s="2"/>
      <c r="N108" s="28"/>
    </row>
    <row r="109" spans="1:14" ht="60" x14ac:dyDescent="0.25">
      <c r="A109" s="78"/>
      <c r="B109" s="30" t="s">
        <v>140</v>
      </c>
      <c r="C109" s="76">
        <f t="shared" ref="C109" si="24">SUM(C110:C111)</f>
        <v>0</v>
      </c>
      <c r="D109" s="76"/>
      <c r="E109" s="76"/>
      <c r="F109" s="76"/>
      <c r="G109" s="76">
        <f t="shared" ref="G109:H109" si="25">SUM(G110:G111)</f>
        <v>1500000</v>
      </c>
      <c r="H109" s="76">
        <f t="shared" si="25"/>
        <v>0</v>
      </c>
      <c r="I109" s="76"/>
      <c r="J109" s="76"/>
      <c r="K109" s="76">
        <f t="shared" ref="K109:L109" si="26">SUM(K110:K111)</f>
        <v>1500000</v>
      </c>
      <c r="L109" s="76">
        <f t="shared" si="26"/>
        <v>1500000</v>
      </c>
      <c r="M109" s="2"/>
      <c r="N109" s="28"/>
    </row>
    <row r="110" spans="1:14" ht="31.5" x14ac:dyDescent="0.25">
      <c r="A110" s="78"/>
      <c r="B110" s="50" t="s">
        <v>293</v>
      </c>
      <c r="C110" s="7"/>
      <c r="D110" s="7"/>
      <c r="E110" s="5"/>
      <c r="F110" s="5"/>
      <c r="G110" s="5">
        <v>1500000</v>
      </c>
      <c r="H110" s="5"/>
      <c r="I110" s="5"/>
      <c r="J110" s="5"/>
      <c r="K110" s="5"/>
      <c r="L110" s="5"/>
      <c r="M110" s="2" t="s">
        <v>444</v>
      </c>
      <c r="N110" s="28"/>
    </row>
    <row r="111" spans="1:14" ht="15.75" hidden="1" customHeight="1" x14ac:dyDescent="0.25">
      <c r="A111" s="78"/>
      <c r="B111" s="39"/>
      <c r="C111" s="7"/>
      <c r="D111" s="7"/>
      <c r="E111" s="5"/>
      <c r="F111" s="5"/>
      <c r="G111" s="5"/>
      <c r="H111" s="5"/>
      <c r="I111" s="5"/>
      <c r="J111" s="5"/>
      <c r="K111" s="5">
        <v>1500000</v>
      </c>
      <c r="L111" s="5">
        <v>1500000</v>
      </c>
      <c r="M111" s="2" t="s">
        <v>445</v>
      </c>
      <c r="N111" s="28"/>
    </row>
    <row r="112" spans="1:14" ht="57" x14ac:dyDescent="0.25">
      <c r="A112" s="32" t="s">
        <v>168</v>
      </c>
      <c r="B112" s="79" t="s">
        <v>53</v>
      </c>
      <c r="C112" s="10">
        <f t="shared" ref="C112:L112" si="27">C113+C150+C156</f>
        <v>3006462</v>
      </c>
      <c r="D112" s="10"/>
      <c r="E112" s="10"/>
      <c r="F112" s="10"/>
      <c r="G112" s="10">
        <f t="shared" si="27"/>
        <v>142469575</v>
      </c>
      <c r="H112" s="10">
        <f t="shared" si="27"/>
        <v>1034177</v>
      </c>
      <c r="I112" s="10"/>
      <c r="J112" s="10"/>
      <c r="K112" s="10">
        <f t="shared" si="27"/>
        <v>10829074</v>
      </c>
      <c r="L112" s="10">
        <f t="shared" si="27"/>
        <v>11155651</v>
      </c>
      <c r="M112" s="2"/>
      <c r="N112" s="28"/>
    </row>
    <row r="113" spans="1:14" ht="57" x14ac:dyDescent="0.25">
      <c r="A113" s="32" t="s">
        <v>169</v>
      </c>
      <c r="B113" s="79" t="s">
        <v>54</v>
      </c>
      <c r="C113" s="10">
        <f t="shared" ref="C113:L113" si="28">C114</f>
        <v>3006462</v>
      </c>
      <c r="D113" s="10"/>
      <c r="E113" s="10"/>
      <c r="F113" s="10"/>
      <c r="G113" s="10">
        <f t="shared" si="28"/>
        <v>132095692</v>
      </c>
      <c r="H113" s="10">
        <f t="shared" si="28"/>
        <v>1034177</v>
      </c>
      <c r="I113" s="10"/>
      <c r="J113" s="10"/>
      <c r="K113" s="10">
        <f t="shared" si="28"/>
        <v>7713218</v>
      </c>
      <c r="L113" s="10">
        <f t="shared" si="28"/>
        <v>6989575</v>
      </c>
      <c r="M113" s="2"/>
      <c r="N113" s="28"/>
    </row>
    <row r="114" spans="1:14" ht="45" x14ac:dyDescent="0.25">
      <c r="A114" s="32"/>
      <c r="B114" s="42" t="s">
        <v>55</v>
      </c>
      <c r="C114" s="7">
        <f>SUM(C115:C149)</f>
        <v>3006462</v>
      </c>
      <c r="D114" s="7"/>
      <c r="E114" s="7"/>
      <c r="F114" s="7"/>
      <c r="G114" s="7">
        <f t="shared" ref="G114:L114" si="29">SUM(G115:G149)</f>
        <v>132095692</v>
      </c>
      <c r="H114" s="7">
        <f t="shared" si="29"/>
        <v>1034177</v>
      </c>
      <c r="I114" s="7"/>
      <c r="J114" s="7"/>
      <c r="K114" s="7">
        <f t="shared" si="29"/>
        <v>7713218</v>
      </c>
      <c r="L114" s="7">
        <f t="shared" si="29"/>
        <v>6989575</v>
      </c>
      <c r="M114" s="2"/>
      <c r="N114" s="28"/>
    </row>
    <row r="115" spans="1:14" ht="75" hidden="1" customHeight="1" x14ac:dyDescent="0.25">
      <c r="A115" s="32"/>
      <c r="B115" s="41" t="s">
        <v>336</v>
      </c>
      <c r="C115" s="9"/>
      <c r="D115" s="9"/>
      <c r="E115" s="11"/>
      <c r="F115" s="11"/>
      <c r="G115" s="11"/>
      <c r="H115" s="11"/>
      <c r="I115" s="9"/>
      <c r="J115" s="9"/>
      <c r="K115" s="9"/>
      <c r="L115" s="9"/>
      <c r="M115" s="2"/>
      <c r="N115" s="28"/>
    </row>
    <row r="116" spans="1:14" ht="75" x14ac:dyDescent="0.25">
      <c r="A116" s="32"/>
      <c r="B116" s="41" t="s">
        <v>336</v>
      </c>
      <c r="C116" s="9"/>
      <c r="D116" s="9"/>
      <c r="E116" s="9"/>
      <c r="F116" s="11"/>
      <c r="G116" s="9">
        <v>2600000</v>
      </c>
      <c r="H116" s="11"/>
      <c r="I116" s="9"/>
      <c r="J116" s="9"/>
      <c r="K116" s="9"/>
      <c r="L116" s="9"/>
      <c r="M116" s="2" t="s">
        <v>626</v>
      </c>
      <c r="N116" s="28"/>
    </row>
    <row r="117" spans="1:14" ht="15.75" hidden="1" customHeight="1" x14ac:dyDescent="0.25">
      <c r="A117" s="32"/>
      <c r="B117" s="41"/>
      <c r="C117" s="7"/>
      <c r="D117" s="9"/>
      <c r="E117" s="9"/>
      <c r="F117" s="9"/>
      <c r="G117" s="9"/>
      <c r="H117" s="11"/>
      <c r="I117" s="9"/>
      <c r="J117" s="9"/>
      <c r="K117" s="9"/>
      <c r="L117" s="9"/>
      <c r="M117" s="2"/>
      <c r="N117" s="28"/>
    </row>
    <row r="118" spans="1:14" ht="90" hidden="1" customHeight="1" x14ac:dyDescent="0.25">
      <c r="A118" s="32"/>
      <c r="B118" s="41" t="s">
        <v>261</v>
      </c>
      <c r="C118" s="7"/>
      <c r="D118" s="9"/>
      <c r="E118" s="7"/>
      <c r="F118" s="11"/>
      <c r="G118" s="7"/>
      <c r="H118" s="11"/>
      <c r="I118" s="9"/>
      <c r="J118" s="9"/>
      <c r="K118" s="9">
        <f>701881</f>
        <v>701881</v>
      </c>
      <c r="L118" s="9">
        <v>701881</v>
      </c>
      <c r="M118" s="2" t="s">
        <v>446</v>
      </c>
      <c r="N118" s="28"/>
    </row>
    <row r="119" spans="1:14" ht="120" hidden="1" customHeight="1" x14ac:dyDescent="0.25">
      <c r="A119" s="32"/>
      <c r="B119" s="41" t="s">
        <v>262</v>
      </c>
      <c r="C119" s="7"/>
      <c r="D119" s="9"/>
      <c r="E119" s="11"/>
      <c r="F119" s="11"/>
      <c r="G119" s="11"/>
      <c r="H119" s="11"/>
      <c r="I119" s="7"/>
      <c r="J119" s="7"/>
      <c r="K119" s="7">
        <f>3700+27462</f>
        <v>31162</v>
      </c>
      <c r="L119" s="7">
        <f>27462+3700</f>
        <v>31162</v>
      </c>
      <c r="M119" s="2" t="s">
        <v>447</v>
      </c>
      <c r="N119" s="28"/>
    </row>
    <row r="120" spans="1:14" ht="92.25" customHeight="1" x14ac:dyDescent="0.25">
      <c r="A120" s="32"/>
      <c r="B120" s="80" t="s">
        <v>302</v>
      </c>
      <c r="C120" s="9">
        <f>3000+4000+4000</f>
        <v>11000</v>
      </c>
      <c r="D120" s="9"/>
      <c r="E120" s="9"/>
      <c r="F120" s="9"/>
      <c r="G120" s="9"/>
      <c r="H120" s="9"/>
      <c r="I120" s="9"/>
      <c r="J120" s="9"/>
      <c r="K120" s="9"/>
      <c r="L120" s="9"/>
      <c r="M120" s="2" t="s">
        <v>628</v>
      </c>
      <c r="N120" s="28"/>
    </row>
    <row r="121" spans="1:14" ht="90" x14ac:dyDescent="0.25">
      <c r="A121" s="32"/>
      <c r="B121" s="80" t="s">
        <v>303</v>
      </c>
      <c r="C121" s="9">
        <f>156049+73753</f>
        <v>229802</v>
      </c>
      <c r="D121" s="9"/>
      <c r="E121" s="9"/>
      <c r="F121" s="9"/>
      <c r="G121" s="9"/>
      <c r="H121" s="9"/>
      <c r="I121" s="9"/>
      <c r="J121" s="9"/>
      <c r="K121" s="9"/>
      <c r="L121" s="9"/>
      <c r="M121" s="2" t="s">
        <v>627</v>
      </c>
      <c r="N121" s="28"/>
    </row>
    <row r="122" spans="1:14" ht="135" x14ac:dyDescent="0.25">
      <c r="A122" s="32"/>
      <c r="B122" s="41" t="s">
        <v>304</v>
      </c>
      <c r="C122" s="9">
        <v>2765660</v>
      </c>
      <c r="D122" s="9"/>
      <c r="E122" s="9"/>
      <c r="F122" s="9"/>
      <c r="G122" s="9"/>
      <c r="H122" s="9"/>
      <c r="I122" s="9"/>
      <c r="J122" s="9"/>
      <c r="K122" s="9"/>
      <c r="L122" s="11"/>
      <c r="M122" s="2" t="s">
        <v>630</v>
      </c>
      <c r="N122" s="28"/>
    </row>
    <row r="123" spans="1:14" ht="135" hidden="1" customHeight="1" x14ac:dyDescent="0.25">
      <c r="A123" s="32"/>
      <c r="B123" s="41" t="s">
        <v>304</v>
      </c>
      <c r="C123" s="9"/>
      <c r="D123" s="9"/>
      <c r="E123" s="9"/>
      <c r="F123" s="11"/>
      <c r="G123" s="9"/>
      <c r="H123" s="11"/>
      <c r="I123" s="9"/>
      <c r="J123" s="9"/>
      <c r="K123" s="9">
        <v>805627</v>
      </c>
      <c r="L123" s="9">
        <v>805627</v>
      </c>
      <c r="M123" s="2" t="s">
        <v>448</v>
      </c>
      <c r="N123" s="28"/>
    </row>
    <row r="124" spans="1:14" ht="15.75" hidden="1" customHeight="1" x14ac:dyDescent="0.25">
      <c r="A124" s="32"/>
      <c r="B124" s="41"/>
      <c r="C124" s="9"/>
      <c r="D124" s="9"/>
      <c r="E124" s="11"/>
      <c r="F124" s="11"/>
      <c r="G124" s="11"/>
      <c r="H124" s="9"/>
      <c r="I124" s="9"/>
      <c r="J124" s="9"/>
      <c r="K124" s="9"/>
      <c r="L124" s="9"/>
      <c r="M124" s="2"/>
      <c r="N124" s="28"/>
    </row>
    <row r="125" spans="1:14" ht="60" x14ac:dyDescent="0.25">
      <c r="A125" s="32"/>
      <c r="B125" s="41" t="s">
        <v>305</v>
      </c>
      <c r="C125" s="1"/>
      <c r="D125" s="9"/>
      <c r="E125" s="9"/>
      <c r="F125" s="9"/>
      <c r="G125" s="9">
        <v>100000</v>
      </c>
      <c r="H125" s="9"/>
      <c r="I125" s="9"/>
      <c r="J125" s="9"/>
      <c r="K125" s="9"/>
      <c r="L125" s="9"/>
      <c r="M125" s="2" t="s">
        <v>629</v>
      </c>
      <c r="N125" s="28"/>
    </row>
    <row r="126" spans="1:14" ht="60" x14ac:dyDescent="0.25">
      <c r="A126" s="32"/>
      <c r="B126" s="41" t="s">
        <v>631</v>
      </c>
      <c r="C126" s="1"/>
      <c r="D126" s="9"/>
      <c r="E126" s="9"/>
      <c r="F126" s="9"/>
      <c r="G126" s="9">
        <v>11367700</v>
      </c>
      <c r="H126" s="9"/>
      <c r="I126" s="9"/>
      <c r="J126" s="9"/>
      <c r="K126" s="9"/>
      <c r="L126" s="9"/>
      <c r="M126" s="2" t="s">
        <v>538</v>
      </c>
      <c r="N126" s="28"/>
    </row>
    <row r="127" spans="1:14" ht="80.25" customHeight="1" x14ac:dyDescent="0.25">
      <c r="A127" s="32"/>
      <c r="B127" s="41" t="s">
        <v>450</v>
      </c>
      <c r="C127" s="9"/>
      <c r="D127" s="9"/>
      <c r="E127" s="9"/>
      <c r="F127" s="11"/>
      <c r="G127" s="9">
        <v>2137146</v>
      </c>
      <c r="H127" s="11"/>
      <c r="I127" s="9"/>
      <c r="J127" s="9"/>
      <c r="K127" s="9"/>
      <c r="L127" s="9"/>
      <c r="M127" s="2" t="s">
        <v>449</v>
      </c>
      <c r="N127" s="28"/>
    </row>
    <row r="128" spans="1:14" ht="15.75" hidden="1" customHeight="1" x14ac:dyDescent="0.25">
      <c r="A128" s="32"/>
      <c r="B128" s="41"/>
      <c r="C128" s="9"/>
      <c r="D128" s="9"/>
      <c r="E128" s="9"/>
      <c r="F128" s="11"/>
      <c r="G128" s="9"/>
      <c r="H128" s="11"/>
      <c r="I128" s="9"/>
      <c r="J128" s="9"/>
      <c r="K128" s="9"/>
      <c r="L128" s="9"/>
      <c r="M128" s="2"/>
      <c r="N128" s="28"/>
    </row>
    <row r="129" spans="1:14" ht="105" hidden="1" customHeight="1" x14ac:dyDescent="0.25">
      <c r="A129" s="32"/>
      <c r="B129" s="41" t="s">
        <v>306</v>
      </c>
      <c r="C129" s="1"/>
      <c r="D129" s="9"/>
      <c r="E129" s="9"/>
      <c r="F129" s="9"/>
      <c r="G129" s="9"/>
      <c r="H129" s="9"/>
      <c r="I129" s="9"/>
      <c r="J129" s="9"/>
      <c r="K129" s="9">
        <f>455300+35599+48440+5600</f>
        <v>544939</v>
      </c>
      <c r="L129" s="9">
        <f>455300+35599+48440+5600</f>
        <v>544939</v>
      </c>
      <c r="M129" s="2" t="s">
        <v>451</v>
      </c>
      <c r="N129" s="28"/>
    </row>
    <row r="130" spans="1:14" ht="105" x14ac:dyDescent="0.25">
      <c r="A130" s="32"/>
      <c r="B130" s="41" t="s">
        <v>306</v>
      </c>
      <c r="C130" s="1"/>
      <c r="D130" s="9"/>
      <c r="E130" s="9"/>
      <c r="F130" s="9"/>
      <c r="G130" s="9"/>
      <c r="H130" s="9">
        <f>327601+16874</f>
        <v>344475</v>
      </c>
      <c r="I130" s="9"/>
      <c r="J130" s="9"/>
      <c r="K130" s="9"/>
      <c r="L130" s="9"/>
      <c r="M130" s="2" t="s">
        <v>452</v>
      </c>
      <c r="N130" s="28"/>
    </row>
    <row r="131" spans="1:14" ht="95.25" customHeight="1" x14ac:dyDescent="0.25">
      <c r="A131" s="32"/>
      <c r="B131" s="41" t="s">
        <v>454</v>
      </c>
      <c r="C131" s="1"/>
      <c r="D131" s="9"/>
      <c r="E131" s="9"/>
      <c r="F131" s="9"/>
      <c r="G131" s="9">
        <v>835000</v>
      </c>
      <c r="H131" s="9"/>
      <c r="I131" s="9"/>
      <c r="J131" s="9"/>
      <c r="K131" s="9"/>
      <c r="L131" s="9"/>
      <c r="M131" s="2" t="s">
        <v>453</v>
      </c>
      <c r="N131" s="28"/>
    </row>
    <row r="132" spans="1:14" ht="107.25" customHeight="1" x14ac:dyDescent="0.25">
      <c r="A132" s="32"/>
      <c r="B132" s="41" t="s">
        <v>595</v>
      </c>
      <c r="C132" s="1"/>
      <c r="D132" s="9"/>
      <c r="E132" s="9"/>
      <c r="F132" s="9"/>
      <c r="G132" s="9">
        <v>1822462</v>
      </c>
      <c r="H132" s="9"/>
      <c r="I132" s="9"/>
      <c r="J132" s="9"/>
      <c r="K132" s="9"/>
      <c r="L132" s="9"/>
      <c r="M132" s="2" t="s">
        <v>594</v>
      </c>
      <c r="N132" s="28"/>
    </row>
    <row r="133" spans="1:14" ht="63" x14ac:dyDescent="0.25">
      <c r="A133" s="32"/>
      <c r="B133" s="41" t="s">
        <v>633</v>
      </c>
      <c r="C133" s="1"/>
      <c r="D133" s="9"/>
      <c r="E133" s="9"/>
      <c r="F133" s="9"/>
      <c r="G133" s="12">
        <f>4420581+291796+1549015+4008075+100000</f>
        <v>10369467</v>
      </c>
      <c r="H133" s="9">
        <f>6+50705+50742+142021+430972+3531</f>
        <v>677977</v>
      </c>
      <c r="I133" s="9"/>
      <c r="J133" s="9"/>
      <c r="K133" s="9">
        <f>9291+7000+2475747+599667+30000+767120+268802+167029+15750+7500+539360</f>
        <v>4887266</v>
      </c>
      <c r="L133" s="9">
        <f>9291+7000+2475747+599667+30000+767120+268802+167029+15750+7500+539360</f>
        <v>4887266</v>
      </c>
      <c r="M133" s="2" t="s">
        <v>632</v>
      </c>
      <c r="N133" s="28"/>
    </row>
    <row r="134" spans="1:14" ht="60" hidden="1" customHeight="1" x14ac:dyDescent="0.25">
      <c r="A134" s="32"/>
      <c r="B134" s="41" t="s">
        <v>307</v>
      </c>
      <c r="C134" s="1"/>
      <c r="D134" s="9"/>
      <c r="E134" s="9"/>
      <c r="F134" s="9"/>
      <c r="G134" s="9"/>
      <c r="H134" s="9"/>
      <c r="I134" s="9"/>
      <c r="J134" s="9"/>
      <c r="K134" s="9"/>
      <c r="L134" s="9"/>
      <c r="M134" s="2"/>
      <c r="N134" s="28"/>
    </row>
    <row r="135" spans="1:14" ht="60" hidden="1" customHeight="1" x14ac:dyDescent="0.25">
      <c r="A135" s="32"/>
      <c r="B135" s="41" t="s">
        <v>307</v>
      </c>
      <c r="C135" s="1"/>
      <c r="D135" s="9"/>
      <c r="E135" s="9"/>
      <c r="F135" s="9"/>
      <c r="G135" s="9"/>
      <c r="H135" s="9"/>
      <c r="I135" s="9"/>
      <c r="J135" s="9"/>
      <c r="K135" s="9"/>
      <c r="L135" s="9"/>
      <c r="M135" s="2"/>
      <c r="N135" s="28"/>
    </row>
    <row r="136" spans="1:14" ht="60" hidden="1" customHeight="1" x14ac:dyDescent="0.25">
      <c r="A136" s="32"/>
      <c r="B136" s="41" t="s">
        <v>307</v>
      </c>
      <c r="C136" s="1"/>
      <c r="D136" s="9"/>
      <c r="E136" s="9"/>
      <c r="F136" s="9"/>
      <c r="G136" s="9"/>
      <c r="H136" s="9"/>
      <c r="I136" s="9"/>
      <c r="J136" s="9"/>
      <c r="K136" s="9">
        <v>18700</v>
      </c>
      <c r="L136" s="9"/>
      <c r="M136" s="2" t="s">
        <v>513</v>
      </c>
      <c r="N136" s="28"/>
    </row>
    <row r="137" spans="1:14" ht="60" hidden="1" customHeight="1" x14ac:dyDescent="0.25">
      <c r="A137" s="32"/>
      <c r="B137" s="41" t="s">
        <v>305</v>
      </c>
      <c r="C137" s="1"/>
      <c r="D137" s="9"/>
      <c r="E137" s="9"/>
      <c r="F137" s="9"/>
      <c r="G137" s="9"/>
      <c r="H137" s="9"/>
      <c r="I137" s="9"/>
      <c r="J137" s="9"/>
      <c r="K137" s="9"/>
      <c r="L137" s="9">
        <v>18700</v>
      </c>
      <c r="M137" s="2" t="s">
        <v>513</v>
      </c>
      <c r="N137" s="28"/>
    </row>
    <row r="138" spans="1:14" ht="150" x14ac:dyDescent="0.25">
      <c r="A138" s="32"/>
      <c r="B138" s="41" t="s">
        <v>308</v>
      </c>
      <c r="C138" s="1"/>
      <c r="D138" s="9"/>
      <c r="E138" s="9"/>
      <c r="F138" s="9"/>
      <c r="G138" s="9">
        <v>14902220</v>
      </c>
      <c r="H138" s="9"/>
      <c r="I138" s="9"/>
      <c r="J138" s="9"/>
      <c r="K138" s="9"/>
      <c r="L138" s="9"/>
      <c r="M138" s="2" t="s">
        <v>537</v>
      </c>
      <c r="N138" s="28"/>
    </row>
    <row r="139" spans="1:14" ht="60" hidden="1" customHeight="1" x14ac:dyDescent="0.25">
      <c r="A139" s="32"/>
      <c r="B139" s="41" t="s">
        <v>309</v>
      </c>
      <c r="C139" s="1"/>
      <c r="D139" s="9"/>
      <c r="E139" s="9"/>
      <c r="F139" s="9"/>
      <c r="G139" s="9"/>
      <c r="H139" s="9"/>
      <c r="I139" s="9"/>
      <c r="J139" s="9"/>
      <c r="K139" s="9"/>
      <c r="L139" s="9"/>
      <c r="M139" s="2"/>
      <c r="N139" s="28"/>
    </row>
    <row r="140" spans="1:14" ht="60" x14ac:dyDescent="0.25">
      <c r="A140" s="32"/>
      <c r="B140" s="41" t="s">
        <v>310</v>
      </c>
      <c r="C140" s="1"/>
      <c r="D140" s="9"/>
      <c r="E140" s="9"/>
      <c r="F140" s="9"/>
      <c r="G140" s="9"/>
      <c r="H140" s="9">
        <f>1725+10000</f>
        <v>11725</v>
      </c>
      <c r="I140" s="9"/>
      <c r="J140" s="9"/>
      <c r="K140" s="9"/>
      <c r="L140" s="9"/>
      <c r="M140" s="2" t="s">
        <v>455</v>
      </c>
      <c r="N140" s="28"/>
    </row>
    <row r="141" spans="1:14" ht="78.75" x14ac:dyDescent="0.25">
      <c r="A141" s="32"/>
      <c r="B141" s="41" t="s">
        <v>310</v>
      </c>
      <c r="C141" s="1"/>
      <c r="D141" s="9"/>
      <c r="E141" s="9"/>
      <c r="F141" s="9"/>
      <c r="G141" s="9">
        <f>389777+63000</f>
        <v>452777</v>
      </c>
      <c r="H141" s="9"/>
      <c r="I141" s="9"/>
      <c r="J141" s="9"/>
      <c r="K141" s="9"/>
      <c r="L141" s="9"/>
      <c r="M141" s="2" t="s">
        <v>596</v>
      </c>
      <c r="N141" s="28"/>
    </row>
    <row r="142" spans="1:14" ht="94.5" x14ac:dyDescent="0.25">
      <c r="A142" s="32"/>
      <c r="B142" s="41" t="s">
        <v>310</v>
      </c>
      <c r="C142" s="1"/>
      <c r="D142" s="9"/>
      <c r="E142" s="9"/>
      <c r="F142" s="9"/>
      <c r="G142" s="9">
        <v>3547550</v>
      </c>
      <c r="H142" s="9"/>
      <c r="I142" s="9"/>
      <c r="J142" s="9"/>
      <c r="K142" s="9"/>
      <c r="L142" s="9"/>
      <c r="M142" s="2" t="s">
        <v>634</v>
      </c>
      <c r="N142" s="28"/>
    </row>
    <row r="143" spans="1:14" ht="51" customHeight="1" x14ac:dyDescent="0.25">
      <c r="A143" s="32"/>
      <c r="B143" s="41"/>
      <c r="C143" s="1"/>
      <c r="D143" s="9"/>
      <c r="E143" s="9"/>
      <c r="F143" s="9"/>
      <c r="G143" s="9">
        <f>50000000-1051000</f>
        <v>48949000</v>
      </c>
      <c r="H143" s="9"/>
      <c r="I143" s="9"/>
      <c r="J143" s="9"/>
      <c r="K143" s="9"/>
      <c r="L143" s="9"/>
      <c r="M143" s="2" t="s">
        <v>611</v>
      </c>
      <c r="N143" s="28"/>
    </row>
    <row r="144" spans="1:14" ht="15.75" x14ac:dyDescent="0.25">
      <c r="A144" s="32"/>
      <c r="B144" s="41"/>
      <c r="C144" s="1"/>
      <c r="D144" s="9"/>
      <c r="E144" s="9"/>
      <c r="F144" s="9"/>
      <c r="G144" s="9">
        <v>27146230</v>
      </c>
      <c r="H144" s="9"/>
      <c r="I144" s="9"/>
      <c r="J144" s="9"/>
      <c r="K144" s="9"/>
      <c r="L144" s="9"/>
      <c r="M144" s="2" t="s">
        <v>456</v>
      </c>
      <c r="N144" s="28"/>
    </row>
    <row r="145" spans="1:14" ht="69" hidden="1" customHeight="1" x14ac:dyDescent="0.25">
      <c r="A145" s="32"/>
      <c r="B145" s="41"/>
      <c r="C145" s="1"/>
      <c r="D145" s="9"/>
      <c r="E145" s="9"/>
      <c r="F145" s="9"/>
      <c r="G145" s="9"/>
      <c r="H145" s="9"/>
      <c r="I145" s="9"/>
      <c r="J145" s="9"/>
      <c r="K145" s="9"/>
      <c r="L145" s="9"/>
      <c r="M145" s="2"/>
      <c r="N145" s="28"/>
    </row>
    <row r="146" spans="1:14" ht="37.5" customHeight="1" x14ac:dyDescent="0.25">
      <c r="A146" s="32"/>
      <c r="B146" s="41"/>
      <c r="C146" s="1"/>
      <c r="D146" s="9"/>
      <c r="E146" s="9"/>
      <c r="F146" s="9"/>
      <c r="G146" s="9">
        <v>2416140</v>
      </c>
      <c r="H146" s="9"/>
      <c r="I146" s="9"/>
      <c r="J146" s="9"/>
      <c r="K146" s="9"/>
      <c r="L146" s="9"/>
      <c r="M146" s="2" t="s">
        <v>457</v>
      </c>
      <c r="N146" s="28"/>
    </row>
    <row r="147" spans="1:14" ht="195" hidden="1" customHeight="1" x14ac:dyDescent="0.25">
      <c r="A147" s="32"/>
      <c r="B147" s="41" t="s">
        <v>311</v>
      </c>
      <c r="C147" s="1"/>
      <c r="D147" s="9"/>
      <c r="E147" s="9"/>
      <c r="F147" s="9"/>
      <c r="G147" s="9"/>
      <c r="H147" s="9"/>
      <c r="I147" s="9"/>
      <c r="J147" s="9"/>
      <c r="K147" s="9"/>
      <c r="L147" s="9"/>
      <c r="M147" s="2"/>
      <c r="N147" s="28"/>
    </row>
    <row r="148" spans="1:14" ht="135" customHeight="1" x14ac:dyDescent="0.25">
      <c r="A148" s="32"/>
      <c r="B148" s="41" t="s">
        <v>312</v>
      </c>
      <c r="C148" s="1"/>
      <c r="D148" s="9"/>
      <c r="E148" s="9"/>
      <c r="F148" s="9"/>
      <c r="G148" s="9">
        <v>5450000</v>
      </c>
      <c r="H148" s="9"/>
      <c r="I148" s="9"/>
      <c r="J148" s="9"/>
      <c r="K148" s="9"/>
      <c r="L148" s="9"/>
      <c r="M148" s="2" t="s">
        <v>635</v>
      </c>
      <c r="N148" s="28"/>
    </row>
    <row r="149" spans="1:14" ht="110.25" hidden="1" customHeight="1" x14ac:dyDescent="0.25">
      <c r="A149" s="32"/>
      <c r="B149" s="41" t="s">
        <v>312</v>
      </c>
      <c r="C149" s="1"/>
      <c r="D149" s="9"/>
      <c r="E149" s="9"/>
      <c r="F149" s="9"/>
      <c r="G149" s="9"/>
      <c r="H149" s="9"/>
      <c r="I149" s="9"/>
      <c r="J149" s="9"/>
      <c r="K149" s="9">
        <v>723643</v>
      </c>
      <c r="L149" s="9"/>
      <c r="M149" s="2" t="s">
        <v>514</v>
      </c>
      <c r="N149" s="28"/>
    </row>
    <row r="150" spans="1:14" ht="57" x14ac:dyDescent="0.25">
      <c r="A150" s="32" t="s">
        <v>56</v>
      </c>
      <c r="B150" s="79" t="s">
        <v>57</v>
      </c>
      <c r="C150" s="10">
        <f t="shared" ref="C150" si="30">C151+C153</f>
        <v>0</v>
      </c>
      <c r="D150" s="10"/>
      <c r="E150" s="10"/>
      <c r="F150" s="10"/>
      <c r="G150" s="10">
        <f t="shared" ref="G150:H150" si="31">G151+G153</f>
        <v>7000000</v>
      </c>
      <c r="H150" s="10">
        <f t="shared" si="31"/>
        <v>0</v>
      </c>
      <c r="I150" s="10"/>
      <c r="J150" s="10"/>
      <c r="K150" s="10">
        <f t="shared" ref="K150:L150" si="32">K151+K153</f>
        <v>0</v>
      </c>
      <c r="L150" s="10">
        <f t="shared" si="32"/>
        <v>1050220</v>
      </c>
      <c r="M150" s="2"/>
      <c r="N150" s="28"/>
    </row>
    <row r="151" spans="1:14" ht="45" hidden="1" customHeight="1" x14ac:dyDescent="0.25">
      <c r="A151" s="32"/>
      <c r="B151" s="42" t="s">
        <v>55</v>
      </c>
      <c r="C151" s="81">
        <f t="shared" ref="C151:L151" si="33">SUM(C152:C152)</f>
        <v>0</v>
      </c>
      <c r="D151" s="81"/>
      <c r="E151" s="81"/>
      <c r="F151" s="81"/>
      <c r="G151" s="81">
        <f t="shared" si="33"/>
        <v>0</v>
      </c>
      <c r="H151" s="81">
        <f t="shared" si="33"/>
        <v>0</v>
      </c>
      <c r="I151" s="81"/>
      <c r="J151" s="81"/>
      <c r="K151" s="81">
        <f t="shared" si="33"/>
        <v>0</v>
      </c>
      <c r="L151" s="81">
        <f t="shared" si="33"/>
        <v>0</v>
      </c>
      <c r="M151" s="2"/>
      <c r="N151" s="28"/>
    </row>
    <row r="152" spans="1:14" ht="15.75" hidden="1" customHeight="1" x14ac:dyDescent="0.25">
      <c r="A152" s="32"/>
      <c r="B152" s="82"/>
      <c r="C152" s="83"/>
      <c r="D152" s="6"/>
      <c r="E152" s="6"/>
      <c r="F152" s="6"/>
      <c r="G152" s="6"/>
      <c r="H152" s="6"/>
      <c r="I152" s="6"/>
      <c r="J152" s="6"/>
      <c r="K152" s="6"/>
      <c r="L152" s="6"/>
      <c r="M152" s="2"/>
      <c r="N152" s="28"/>
    </row>
    <row r="153" spans="1:14" ht="30" x14ac:dyDescent="0.25">
      <c r="A153" s="32"/>
      <c r="B153" s="42" t="s">
        <v>65</v>
      </c>
      <c r="C153" s="7">
        <f>C154+C155</f>
        <v>0</v>
      </c>
      <c r="D153" s="7"/>
      <c r="E153" s="7"/>
      <c r="F153" s="7"/>
      <c r="G153" s="7">
        <f t="shared" ref="G153:H153" si="34">G154+G155</f>
        <v>7000000</v>
      </c>
      <c r="H153" s="7">
        <f t="shared" si="34"/>
        <v>0</v>
      </c>
      <c r="I153" s="7"/>
      <c r="J153" s="7"/>
      <c r="K153" s="7">
        <f t="shared" ref="K153:L153" si="35">K154+K155</f>
        <v>0</v>
      </c>
      <c r="L153" s="7">
        <f t="shared" si="35"/>
        <v>1050220</v>
      </c>
      <c r="M153" s="2"/>
      <c r="N153" s="28"/>
    </row>
    <row r="154" spans="1:14" ht="123" customHeight="1" x14ac:dyDescent="0.25">
      <c r="A154" s="32"/>
      <c r="B154" s="46" t="s">
        <v>254</v>
      </c>
      <c r="C154" s="7"/>
      <c r="D154" s="6"/>
      <c r="E154" s="6"/>
      <c r="F154" s="6"/>
      <c r="G154" s="6">
        <v>7000000</v>
      </c>
      <c r="H154" s="6"/>
      <c r="I154" s="6"/>
      <c r="J154" s="6"/>
      <c r="K154" s="6"/>
      <c r="L154" s="6">
        <v>1050220</v>
      </c>
      <c r="M154" s="2" t="s">
        <v>636</v>
      </c>
      <c r="N154" s="28"/>
    </row>
    <row r="155" spans="1:14" ht="15.75" hidden="1" customHeight="1" x14ac:dyDescent="0.25">
      <c r="A155" s="32"/>
      <c r="B155" s="46"/>
      <c r="C155" s="7"/>
      <c r="D155" s="6"/>
      <c r="E155" s="6"/>
      <c r="F155" s="6"/>
      <c r="G155" s="6"/>
      <c r="H155" s="6"/>
      <c r="I155" s="6"/>
      <c r="J155" s="6"/>
      <c r="K155" s="6"/>
      <c r="L155" s="6"/>
      <c r="M155" s="2"/>
      <c r="N155" s="28"/>
    </row>
    <row r="156" spans="1:14" ht="42.75" x14ac:dyDescent="0.25">
      <c r="A156" s="32" t="s">
        <v>170</v>
      </c>
      <c r="B156" s="84" t="s">
        <v>58</v>
      </c>
      <c r="C156" s="10">
        <f>C157+C159+C161</f>
        <v>0</v>
      </c>
      <c r="D156" s="10"/>
      <c r="E156" s="10"/>
      <c r="F156" s="10"/>
      <c r="G156" s="10">
        <f t="shared" ref="G156:H156" si="36">G157+G159+G161</f>
        <v>3373883</v>
      </c>
      <c r="H156" s="10">
        <f t="shared" si="36"/>
        <v>0</v>
      </c>
      <c r="I156" s="10"/>
      <c r="J156" s="10"/>
      <c r="K156" s="10">
        <f t="shared" ref="K156:L156" si="37">K157+K159+K161</f>
        <v>3115856</v>
      </c>
      <c r="L156" s="10">
        <f t="shared" si="37"/>
        <v>3115856</v>
      </c>
      <c r="M156" s="2"/>
      <c r="N156" s="28"/>
    </row>
    <row r="157" spans="1:14" ht="45" hidden="1" customHeight="1" x14ac:dyDescent="0.25">
      <c r="A157" s="32"/>
      <c r="B157" s="30" t="s">
        <v>44</v>
      </c>
      <c r="C157" s="7">
        <f>C158</f>
        <v>0</v>
      </c>
      <c r="D157" s="7"/>
      <c r="E157" s="7"/>
      <c r="F157" s="7"/>
      <c r="G157" s="7">
        <f t="shared" ref="G157:L157" si="38">G158</f>
        <v>0</v>
      </c>
      <c r="H157" s="7">
        <f t="shared" si="38"/>
        <v>0</v>
      </c>
      <c r="I157" s="7"/>
      <c r="J157" s="7"/>
      <c r="K157" s="7">
        <f t="shared" si="38"/>
        <v>0</v>
      </c>
      <c r="L157" s="7">
        <f t="shared" si="38"/>
        <v>0</v>
      </c>
      <c r="M157" s="2"/>
      <c r="N157" s="28"/>
    </row>
    <row r="158" spans="1:14" ht="15.75" hidden="1" customHeight="1" x14ac:dyDescent="0.25">
      <c r="A158" s="32"/>
      <c r="B158" s="85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2"/>
      <c r="N158" s="28"/>
    </row>
    <row r="159" spans="1:14" ht="30" hidden="1" customHeight="1" x14ac:dyDescent="0.25">
      <c r="A159" s="32"/>
      <c r="B159" s="30" t="s">
        <v>49</v>
      </c>
      <c r="C159" s="7">
        <f t="shared" ref="C159:L159" si="39">SUM(C160:C160)</f>
        <v>0</v>
      </c>
      <c r="D159" s="7"/>
      <c r="E159" s="7"/>
      <c r="F159" s="7"/>
      <c r="G159" s="7">
        <f t="shared" si="39"/>
        <v>0</v>
      </c>
      <c r="H159" s="7">
        <f t="shared" si="39"/>
        <v>0</v>
      </c>
      <c r="I159" s="7"/>
      <c r="J159" s="7"/>
      <c r="K159" s="7">
        <f t="shared" si="39"/>
        <v>0</v>
      </c>
      <c r="L159" s="7">
        <f t="shared" si="39"/>
        <v>2400000</v>
      </c>
      <c r="M159" s="2"/>
      <c r="N159" s="28"/>
    </row>
    <row r="160" spans="1:14" ht="63" hidden="1" customHeight="1" x14ac:dyDescent="0.25">
      <c r="A160" s="32"/>
      <c r="B160" s="41" t="s">
        <v>313</v>
      </c>
      <c r="C160" s="9"/>
      <c r="D160" s="9"/>
      <c r="E160" s="9"/>
      <c r="F160" s="9"/>
      <c r="G160" s="9"/>
      <c r="H160" s="9"/>
      <c r="I160" s="86"/>
      <c r="J160" s="9"/>
      <c r="K160" s="86"/>
      <c r="L160" s="9">
        <v>2400000</v>
      </c>
      <c r="M160" s="2" t="s">
        <v>458</v>
      </c>
      <c r="N160" s="28"/>
    </row>
    <row r="161" spans="1:14" ht="15.75" x14ac:dyDescent="0.25">
      <c r="A161" s="32"/>
      <c r="B161" s="42" t="s">
        <v>34</v>
      </c>
      <c r="C161" s="7">
        <f>SUM(C162:C167)</f>
        <v>0</v>
      </c>
      <c r="D161" s="7"/>
      <c r="E161" s="7"/>
      <c r="F161" s="7"/>
      <c r="G161" s="7">
        <f t="shared" ref="G161:L161" si="40">SUM(G162:G167)</f>
        <v>3373883</v>
      </c>
      <c r="H161" s="7">
        <f t="shared" si="40"/>
        <v>0</v>
      </c>
      <c r="I161" s="7"/>
      <c r="J161" s="7"/>
      <c r="K161" s="7">
        <f t="shared" si="40"/>
        <v>3115856</v>
      </c>
      <c r="L161" s="7">
        <f t="shared" si="40"/>
        <v>715856</v>
      </c>
      <c r="M161" s="2"/>
      <c r="N161" s="28"/>
    </row>
    <row r="162" spans="1:14" ht="120" hidden="1" customHeight="1" x14ac:dyDescent="0.25">
      <c r="A162" s="32"/>
      <c r="B162" s="38" t="s">
        <v>314</v>
      </c>
      <c r="C162" s="7"/>
      <c r="D162" s="7"/>
      <c r="E162" s="7"/>
      <c r="F162" s="7"/>
      <c r="G162" s="7"/>
      <c r="H162" s="7"/>
      <c r="I162" s="9"/>
      <c r="J162" s="9"/>
      <c r="K162" s="9">
        <v>682000</v>
      </c>
      <c r="L162" s="9"/>
      <c r="M162" s="2" t="s">
        <v>515</v>
      </c>
      <c r="N162" s="28"/>
    </row>
    <row r="163" spans="1:14" ht="105" x14ac:dyDescent="0.25">
      <c r="A163" s="32"/>
      <c r="B163" s="38" t="s">
        <v>315</v>
      </c>
      <c r="C163" s="7"/>
      <c r="D163" s="7"/>
      <c r="E163" s="5"/>
      <c r="F163" s="7"/>
      <c r="G163" s="9">
        <v>3373883</v>
      </c>
      <c r="H163" s="7"/>
      <c r="I163" s="9"/>
      <c r="J163" s="9"/>
      <c r="K163" s="9">
        <v>1661717</v>
      </c>
      <c r="L163" s="9"/>
      <c r="M163" s="2" t="s">
        <v>516</v>
      </c>
      <c r="N163" s="28"/>
    </row>
    <row r="164" spans="1:14" ht="94.5" hidden="1" customHeight="1" x14ac:dyDescent="0.25">
      <c r="A164" s="32"/>
      <c r="B164" s="38" t="s">
        <v>316</v>
      </c>
      <c r="C164" s="7"/>
      <c r="D164" s="7"/>
      <c r="E164" s="5"/>
      <c r="F164" s="7"/>
      <c r="G164" s="7"/>
      <c r="H164" s="7"/>
      <c r="I164" s="9"/>
      <c r="J164" s="9"/>
      <c r="K164" s="9">
        <f>56283+179676</f>
        <v>235959</v>
      </c>
      <c r="L164" s="9">
        <v>179676</v>
      </c>
      <c r="M164" s="2" t="s">
        <v>459</v>
      </c>
      <c r="N164" s="28"/>
    </row>
    <row r="165" spans="1:14" ht="60" hidden="1" customHeight="1" x14ac:dyDescent="0.25">
      <c r="A165" s="32"/>
      <c r="B165" s="39" t="s">
        <v>317</v>
      </c>
      <c r="C165" s="7"/>
      <c r="D165" s="7"/>
      <c r="E165" s="7"/>
      <c r="F165" s="7"/>
      <c r="G165" s="7"/>
      <c r="H165" s="7"/>
      <c r="I165" s="9"/>
      <c r="J165" s="9"/>
      <c r="K165" s="9">
        <v>370000</v>
      </c>
      <c r="L165" s="9">
        <v>370000</v>
      </c>
      <c r="M165" s="2" t="s">
        <v>460</v>
      </c>
      <c r="N165" s="28"/>
    </row>
    <row r="166" spans="1:14" ht="15.75" hidden="1" customHeight="1" x14ac:dyDescent="0.25">
      <c r="A166" s="32"/>
      <c r="B166" s="39"/>
      <c r="C166" s="9"/>
      <c r="D166" s="9"/>
      <c r="E166" s="9"/>
      <c r="F166" s="5"/>
      <c r="G166" s="9"/>
      <c r="H166" s="5"/>
      <c r="I166" s="9"/>
      <c r="J166" s="9"/>
      <c r="K166" s="9"/>
      <c r="L166" s="9"/>
      <c r="M166" s="2"/>
      <c r="N166" s="28"/>
    </row>
    <row r="167" spans="1:14" ht="47.25" hidden="1" customHeight="1" x14ac:dyDescent="0.25">
      <c r="A167" s="32"/>
      <c r="B167" s="39"/>
      <c r="C167" s="9"/>
      <c r="D167" s="9"/>
      <c r="E167" s="5"/>
      <c r="F167" s="5"/>
      <c r="G167" s="5"/>
      <c r="H167" s="5"/>
      <c r="I167" s="9"/>
      <c r="J167" s="9"/>
      <c r="K167" s="9">
        <v>166180</v>
      </c>
      <c r="L167" s="9">
        <v>166180</v>
      </c>
      <c r="M167" s="2" t="s">
        <v>461</v>
      </c>
      <c r="N167" s="28"/>
    </row>
    <row r="168" spans="1:14" ht="57" x14ac:dyDescent="0.25">
      <c r="A168" s="32" t="s">
        <v>21</v>
      </c>
      <c r="B168" s="87" t="s">
        <v>22</v>
      </c>
      <c r="C168" s="10">
        <f>C169</f>
        <v>0</v>
      </c>
      <c r="D168" s="10"/>
      <c r="E168" s="10"/>
      <c r="F168" s="10"/>
      <c r="G168" s="10">
        <f t="shared" ref="G168:L168" si="41">G169</f>
        <v>570000</v>
      </c>
      <c r="H168" s="10">
        <f t="shared" si="41"/>
        <v>0</v>
      </c>
      <c r="I168" s="10"/>
      <c r="J168" s="10"/>
      <c r="K168" s="10">
        <f t="shared" si="41"/>
        <v>5835200</v>
      </c>
      <c r="L168" s="10">
        <f t="shared" si="41"/>
        <v>5835200</v>
      </c>
      <c r="M168" s="2"/>
      <c r="N168" s="28"/>
    </row>
    <row r="169" spans="1:14" ht="28.5" x14ac:dyDescent="0.25">
      <c r="A169" s="32" t="s">
        <v>23</v>
      </c>
      <c r="B169" s="88" t="s">
        <v>125</v>
      </c>
      <c r="C169" s="10">
        <f>C176+C180+C172+C174+C178+C170</f>
        <v>0</v>
      </c>
      <c r="D169" s="10"/>
      <c r="E169" s="10"/>
      <c r="F169" s="10"/>
      <c r="G169" s="10">
        <f t="shared" ref="G169:L169" si="42">G176+G180+G172+G174+G178+G170</f>
        <v>570000</v>
      </c>
      <c r="H169" s="10">
        <f t="shared" si="42"/>
        <v>0</v>
      </c>
      <c r="I169" s="10"/>
      <c r="J169" s="10"/>
      <c r="K169" s="10">
        <f t="shared" si="42"/>
        <v>5835200</v>
      </c>
      <c r="L169" s="10">
        <f t="shared" si="42"/>
        <v>5835200</v>
      </c>
      <c r="M169" s="2"/>
      <c r="N169" s="28"/>
    </row>
    <row r="170" spans="1:14" ht="45" hidden="1" customHeight="1" x14ac:dyDescent="0.25">
      <c r="A170" s="32"/>
      <c r="B170" s="42" t="s">
        <v>33</v>
      </c>
      <c r="C170" s="9">
        <f>C171</f>
        <v>0</v>
      </c>
      <c r="D170" s="9"/>
      <c r="E170" s="9"/>
      <c r="F170" s="9"/>
      <c r="G170" s="9">
        <f t="shared" ref="G170:L170" si="43">G171</f>
        <v>0</v>
      </c>
      <c r="H170" s="9">
        <f t="shared" si="43"/>
        <v>0</v>
      </c>
      <c r="I170" s="9"/>
      <c r="J170" s="9"/>
      <c r="K170" s="9">
        <f t="shared" si="43"/>
        <v>1900000</v>
      </c>
      <c r="L170" s="9">
        <f t="shared" si="43"/>
        <v>0</v>
      </c>
      <c r="M170" s="2"/>
      <c r="N170" s="28"/>
    </row>
    <row r="171" spans="1:14" ht="75" hidden="1" customHeight="1" x14ac:dyDescent="0.25">
      <c r="A171" s="32"/>
      <c r="B171" s="44" t="s">
        <v>319</v>
      </c>
      <c r="C171" s="9"/>
      <c r="D171" s="10"/>
      <c r="E171" s="10"/>
      <c r="F171" s="10"/>
      <c r="G171" s="10"/>
      <c r="H171" s="10"/>
      <c r="I171" s="9"/>
      <c r="J171" s="9"/>
      <c r="K171" s="9">
        <v>1900000</v>
      </c>
      <c r="L171" s="10"/>
      <c r="M171" s="2" t="s">
        <v>463</v>
      </c>
      <c r="N171" s="28"/>
    </row>
    <row r="172" spans="1:14" ht="45" hidden="1" customHeight="1" x14ac:dyDescent="0.25">
      <c r="A172" s="32"/>
      <c r="B172" s="37" t="s">
        <v>44</v>
      </c>
      <c r="C172" s="7">
        <f>C173</f>
        <v>0</v>
      </c>
      <c r="D172" s="7"/>
      <c r="E172" s="7"/>
      <c r="F172" s="7"/>
      <c r="G172" s="7">
        <f t="shared" ref="G172:L172" si="44">G173</f>
        <v>0</v>
      </c>
      <c r="H172" s="7">
        <f t="shared" si="44"/>
        <v>0</v>
      </c>
      <c r="I172" s="7"/>
      <c r="J172" s="7"/>
      <c r="K172" s="7">
        <f t="shared" si="44"/>
        <v>2035200</v>
      </c>
      <c r="L172" s="7">
        <f t="shared" si="44"/>
        <v>0</v>
      </c>
      <c r="M172" s="2"/>
      <c r="N172" s="28"/>
    </row>
    <row r="173" spans="1:14" ht="31.5" hidden="1" customHeight="1" x14ac:dyDescent="0.25">
      <c r="A173" s="32"/>
      <c r="B173" s="41"/>
      <c r="C173" s="9"/>
      <c r="D173" s="9"/>
      <c r="E173" s="9"/>
      <c r="F173" s="9"/>
      <c r="G173" s="9"/>
      <c r="H173" s="9"/>
      <c r="I173" s="9"/>
      <c r="J173" s="9"/>
      <c r="K173" s="9">
        <v>2035200</v>
      </c>
      <c r="L173" s="9"/>
      <c r="M173" s="2" t="s">
        <v>318</v>
      </c>
      <c r="N173" s="28"/>
    </row>
    <row r="174" spans="1:14" ht="30" hidden="1" customHeight="1" x14ac:dyDescent="0.25">
      <c r="A174" s="32"/>
      <c r="B174" s="37" t="s">
        <v>3</v>
      </c>
      <c r="C174" s="7">
        <f>C175</f>
        <v>0</v>
      </c>
      <c r="D174" s="7"/>
      <c r="E174" s="7"/>
      <c r="F174" s="7"/>
      <c r="G174" s="7">
        <f t="shared" ref="G174:L174" si="45">G175</f>
        <v>0</v>
      </c>
      <c r="H174" s="7">
        <f t="shared" si="45"/>
        <v>0</v>
      </c>
      <c r="I174" s="7"/>
      <c r="J174" s="7"/>
      <c r="K174" s="7">
        <f t="shared" si="45"/>
        <v>1900000</v>
      </c>
      <c r="L174" s="7">
        <f t="shared" si="45"/>
        <v>0</v>
      </c>
      <c r="M174" s="2"/>
      <c r="N174" s="28"/>
    </row>
    <row r="175" spans="1:14" ht="31.5" hidden="1" customHeight="1" x14ac:dyDescent="0.25">
      <c r="A175" s="32"/>
      <c r="B175" s="41"/>
      <c r="C175" s="9"/>
      <c r="D175" s="9"/>
      <c r="E175" s="9"/>
      <c r="F175" s="9"/>
      <c r="G175" s="9"/>
      <c r="H175" s="9"/>
      <c r="I175" s="9"/>
      <c r="J175" s="9"/>
      <c r="K175" s="9">
        <v>1900000</v>
      </c>
      <c r="L175" s="9"/>
      <c r="M175" s="2" t="s">
        <v>318</v>
      </c>
      <c r="N175" s="28"/>
    </row>
    <row r="176" spans="1:14" ht="60" x14ac:dyDescent="0.25">
      <c r="A176" s="32"/>
      <c r="B176" s="37" t="s">
        <v>156</v>
      </c>
      <c r="C176" s="7">
        <f>C177</f>
        <v>0</v>
      </c>
      <c r="D176" s="7"/>
      <c r="E176" s="7"/>
      <c r="F176" s="7"/>
      <c r="G176" s="7">
        <f t="shared" ref="G176:L176" si="46">G177</f>
        <v>570000</v>
      </c>
      <c r="H176" s="7">
        <f t="shared" si="46"/>
        <v>0</v>
      </c>
      <c r="I176" s="7"/>
      <c r="J176" s="7"/>
      <c r="K176" s="7">
        <f t="shared" si="46"/>
        <v>0</v>
      </c>
      <c r="L176" s="7">
        <f t="shared" si="46"/>
        <v>0</v>
      </c>
      <c r="M176" s="2"/>
      <c r="N176" s="28"/>
    </row>
    <row r="177" spans="1:14" ht="77.25" customHeight="1" x14ac:dyDescent="0.25">
      <c r="A177" s="32"/>
      <c r="B177" s="41" t="s">
        <v>263</v>
      </c>
      <c r="C177" s="9"/>
      <c r="D177" s="9"/>
      <c r="E177" s="9"/>
      <c r="F177" s="9"/>
      <c r="G177" s="9">
        <v>570000</v>
      </c>
      <c r="H177" s="9"/>
      <c r="I177" s="9"/>
      <c r="J177" s="9"/>
      <c r="K177" s="9"/>
      <c r="L177" s="9"/>
      <c r="M177" s="2" t="s">
        <v>554</v>
      </c>
      <c r="N177" s="28"/>
    </row>
    <row r="178" spans="1:14" ht="45" hidden="1" customHeight="1" x14ac:dyDescent="0.25">
      <c r="A178" s="32"/>
      <c r="B178" s="37" t="s">
        <v>55</v>
      </c>
      <c r="C178" s="7">
        <f>C179</f>
        <v>0</v>
      </c>
      <c r="D178" s="7"/>
      <c r="E178" s="7"/>
      <c r="F178" s="7"/>
      <c r="G178" s="7">
        <f t="shared" ref="G178:L178" si="47">G179</f>
        <v>0</v>
      </c>
      <c r="H178" s="7">
        <f t="shared" si="47"/>
        <v>0</v>
      </c>
      <c r="I178" s="7"/>
      <c r="J178" s="7"/>
      <c r="K178" s="7">
        <f t="shared" si="47"/>
        <v>0</v>
      </c>
      <c r="L178" s="7">
        <f t="shared" si="47"/>
        <v>5835200</v>
      </c>
      <c r="M178" s="2"/>
      <c r="N178" s="28"/>
    </row>
    <row r="179" spans="1:14" ht="75" hidden="1" customHeight="1" x14ac:dyDescent="0.25">
      <c r="A179" s="32"/>
      <c r="B179" s="41" t="s">
        <v>319</v>
      </c>
      <c r="C179" s="9"/>
      <c r="D179" s="9"/>
      <c r="E179" s="9"/>
      <c r="F179" s="9"/>
      <c r="G179" s="9"/>
      <c r="H179" s="9"/>
      <c r="I179" s="9"/>
      <c r="J179" s="9"/>
      <c r="K179" s="9"/>
      <c r="L179" s="9">
        <f>4143000+1692200</f>
        <v>5835200</v>
      </c>
      <c r="M179" s="2" t="s">
        <v>462</v>
      </c>
      <c r="N179" s="28"/>
    </row>
    <row r="180" spans="1:14" ht="30" hidden="1" customHeight="1" x14ac:dyDescent="0.25">
      <c r="A180" s="32"/>
      <c r="B180" s="89" t="s">
        <v>115</v>
      </c>
      <c r="C180" s="7">
        <f>C181</f>
        <v>0</v>
      </c>
      <c r="D180" s="7"/>
      <c r="E180" s="7"/>
      <c r="F180" s="7"/>
      <c r="G180" s="7">
        <f t="shared" ref="G180:L180" si="48">G181</f>
        <v>0</v>
      </c>
      <c r="H180" s="7">
        <f t="shared" si="48"/>
        <v>0</v>
      </c>
      <c r="I180" s="7"/>
      <c r="J180" s="7"/>
      <c r="K180" s="7">
        <f t="shared" si="48"/>
        <v>0</v>
      </c>
      <c r="L180" s="7">
        <f t="shared" si="48"/>
        <v>0</v>
      </c>
      <c r="M180" s="2"/>
      <c r="N180" s="28"/>
    </row>
    <row r="181" spans="1:14" ht="120" hidden="1" customHeight="1" x14ac:dyDescent="0.25">
      <c r="A181" s="32"/>
      <c r="B181" s="41" t="s">
        <v>264</v>
      </c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2" t="s">
        <v>464</v>
      </c>
      <c r="N181" s="28"/>
    </row>
    <row r="182" spans="1:14" ht="71.25" x14ac:dyDescent="0.25">
      <c r="A182" s="34" t="s">
        <v>171</v>
      </c>
      <c r="B182" s="79" t="s">
        <v>68</v>
      </c>
      <c r="C182" s="10">
        <f>C183+C192+C195+C198</f>
        <v>51509200</v>
      </c>
      <c r="D182" s="10"/>
      <c r="E182" s="10"/>
      <c r="F182" s="10"/>
      <c r="G182" s="10">
        <f t="shared" ref="G182:L182" si="49">G183+G192+G195+G198</f>
        <v>6160626</v>
      </c>
      <c r="H182" s="10">
        <f t="shared" si="49"/>
        <v>0</v>
      </c>
      <c r="I182" s="10"/>
      <c r="J182" s="10"/>
      <c r="K182" s="10">
        <f t="shared" si="49"/>
        <v>3005546</v>
      </c>
      <c r="L182" s="10">
        <f t="shared" si="49"/>
        <v>3005546</v>
      </c>
      <c r="M182" s="2"/>
      <c r="N182" s="28"/>
    </row>
    <row r="183" spans="1:14" ht="75" customHeight="1" x14ac:dyDescent="0.25">
      <c r="A183" s="32" t="s">
        <v>555</v>
      </c>
      <c r="B183" s="33" t="s">
        <v>612</v>
      </c>
      <c r="C183" s="10">
        <f>C186+C184+C190</f>
        <v>0</v>
      </c>
      <c r="D183" s="10"/>
      <c r="E183" s="10"/>
      <c r="F183" s="10"/>
      <c r="G183" s="10">
        <f t="shared" ref="G183:H183" si="50">G186+G184+G190</f>
        <v>0</v>
      </c>
      <c r="H183" s="10">
        <f t="shared" si="50"/>
        <v>0</v>
      </c>
      <c r="I183" s="10"/>
      <c r="J183" s="10"/>
      <c r="K183" s="10">
        <f t="shared" ref="K183:L183" si="51">K186+K184+K190</f>
        <v>0</v>
      </c>
      <c r="L183" s="10">
        <f t="shared" si="51"/>
        <v>0</v>
      </c>
      <c r="M183" s="2"/>
      <c r="N183" s="28"/>
    </row>
    <row r="184" spans="1:14" ht="45" hidden="1" customHeight="1" x14ac:dyDescent="0.25">
      <c r="A184" s="90"/>
      <c r="B184" s="47" t="s">
        <v>42</v>
      </c>
      <c r="C184" s="7">
        <f t="shared" ref="C184:L184" si="52">C185</f>
        <v>0</v>
      </c>
      <c r="D184" s="7"/>
      <c r="E184" s="7"/>
      <c r="F184" s="7"/>
      <c r="G184" s="7">
        <f t="shared" si="52"/>
        <v>0</v>
      </c>
      <c r="H184" s="7">
        <f t="shared" si="52"/>
        <v>0</v>
      </c>
      <c r="I184" s="7"/>
      <c r="J184" s="7"/>
      <c r="K184" s="7">
        <f t="shared" si="52"/>
        <v>0</v>
      </c>
      <c r="L184" s="7">
        <f t="shared" si="52"/>
        <v>0</v>
      </c>
      <c r="M184" s="2"/>
      <c r="N184" s="28"/>
    </row>
    <row r="185" spans="1:14" ht="15.75" hidden="1" customHeight="1" x14ac:dyDescent="0.25">
      <c r="A185" s="90"/>
      <c r="B185" s="44"/>
      <c r="C185" s="9"/>
      <c r="D185" s="9"/>
      <c r="E185" s="91"/>
      <c r="F185" s="91"/>
      <c r="G185" s="91"/>
      <c r="H185" s="91"/>
      <c r="I185" s="91"/>
      <c r="J185" s="91"/>
      <c r="K185" s="91"/>
      <c r="L185" s="91"/>
      <c r="M185" s="2"/>
      <c r="N185" s="28"/>
    </row>
    <row r="186" spans="1:14" ht="30" hidden="1" customHeight="1" x14ac:dyDescent="0.25">
      <c r="A186" s="32"/>
      <c r="B186" s="30" t="s">
        <v>65</v>
      </c>
      <c r="C186" s="7">
        <f>C187+C188+C189</f>
        <v>0</v>
      </c>
      <c r="D186" s="7"/>
      <c r="E186" s="7"/>
      <c r="F186" s="7"/>
      <c r="G186" s="7">
        <f t="shared" ref="G186:H186" si="53">G187+G188+G189</f>
        <v>0</v>
      </c>
      <c r="H186" s="7">
        <f t="shared" si="53"/>
        <v>0</v>
      </c>
      <c r="I186" s="7"/>
      <c r="J186" s="7"/>
      <c r="K186" s="7">
        <f t="shared" ref="K186:L186" si="54">K187+K188+K189</f>
        <v>0</v>
      </c>
      <c r="L186" s="7">
        <f t="shared" si="54"/>
        <v>0</v>
      </c>
      <c r="M186" s="2"/>
      <c r="N186" s="28"/>
    </row>
    <row r="187" spans="1:14" ht="45" hidden="1" customHeight="1" x14ac:dyDescent="0.25">
      <c r="A187" s="32"/>
      <c r="B187" s="39" t="s">
        <v>265</v>
      </c>
      <c r="C187" s="92"/>
      <c r="D187" s="91"/>
      <c r="E187" s="92"/>
      <c r="F187" s="91"/>
      <c r="G187" s="92"/>
      <c r="H187" s="91"/>
      <c r="I187" s="9"/>
      <c r="J187" s="9"/>
      <c r="K187" s="9"/>
      <c r="L187" s="9"/>
      <c r="M187" s="2"/>
      <c r="N187" s="28"/>
    </row>
    <row r="188" spans="1:14" ht="15.75" hidden="1" customHeight="1" x14ac:dyDescent="0.25">
      <c r="A188" s="32"/>
      <c r="B188" s="39"/>
      <c r="C188" s="92"/>
      <c r="D188" s="91"/>
      <c r="E188" s="92"/>
      <c r="F188" s="91"/>
      <c r="G188" s="92"/>
      <c r="H188" s="91"/>
      <c r="I188" s="9"/>
      <c r="J188" s="9"/>
      <c r="K188" s="9"/>
      <c r="L188" s="9"/>
      <c r="M188" s="2"/>
      <c r="N188" s="28"/>
    </row>
    <row r="189" spans="1:14" ht="15.75" hidden="1" customHeight="1" x14ac:dyDescent="0.25">
      <c r="A189" s="32"/>
      <c r="B189" s="39"/>
      <c r="C189" s="92"/>
      <c r="D189" s="91"/>
      <c r="E189" s="92"/>
      <c r="F189" s="91"/>
      <c r="G189" s="92"/>
      <c r="H189" s="91"/>
      <c r="I189" s="9"/>
      <c r="J189" s="9"/>
      <c r="K189" s="9"/>
      <c r="L189" s="9"/>
      <c r="M189" s="2"/>
      <c r="N189" s="28"/>
    </row>
    <row r="190" spans="1:14" ht="65.25" customHeight="1" x14ac:dyDescent="0.25">
      <c r="A190" s="32"/>
      <c r="B190" s="42" t="s">
        <v>139</v>
      </c>
      <c r="C190" s="7">
        <f>C191</f>
        <v>0</v>
      </c>
      <c r="D190" s="7"/>
      <c r="E190" s="7"/>
      <c r="F190" s="7"/>
      <c r="G190" s="7">
        <f t="shared" ref="G190:L190" si="55">G191</f>
        <v>0</v>
      </c>
      <c r="H190" s="7">
        <f t="shared" si="55"/>
        <v>0</v>
      </c>
      <c r="I190" s="7"/>
      <c r="J190" s="7"/>
      <c r="K190" s="7">
        <f t="shared" si="55"/>
        <v>0</v>
      </c>
      <c r="L190" s="7">
        <f t="shared" si="55"/>
        <v>0</v>
      </c>
      <c r="M190" s="2"/>
      <c r="N190" s="28"/>
    </row>
    <row r="191" spans="1:14" ht="60" x14ac:dyDescent="0.25">
      <c r="A191" s="32"/>
      <c r="B191" s="44" t="s">
        <v>266</v>
      </c>
      <c r="C191" s="9"/>
      <c r="D191" s="91"/>
      <c r="E191" s="91"/>
      <c r="F191" s="91"/>
      <c r="G191" s="91"/>
      <c r="H191" s="91"/>
      <c r="I191" s="91"/>
      <c r="J191" s="91"/>
      <c r="K191" s="91"/>
      <c r="L191" s="91"/>
      <c r="M191" s="2" t="s">
        <v>637</v>
      </c>
      <c r="N191" s="28"/>
    </row>
    <row r="192" spans="1:14" ht="85.5" hidden="1" customHeight="1" x14ac:dyDescent="0.25">
      <c r="A192" s="32" t="s">
        <v>172</v>
      </c>
      <c r="B192" s="79" t="s">
        <v>69</v>
      </c>
      <c r="C192" s="10">
        <f t="shared" ref="C192:L193" si="56">C193</f>
        <v>0</v>
      </c>
      <c r="D192" s="10"/>
      <c r="E192" s="10"/>
      <c r="F192" s="10"/>
      <c r="G192" s="10">
        <f t="shared" si="56"/>
        <v>0</v>
      </c>
      <c r="H192" s="10">
        <f t="shared" si="56"/>
        <v>0</v>
      </c>
      <c r="I192" s="10"/>
      <c r="J192" s="10"/>
      <c r="K192" s="10">
        <f t="shared" si="56"/>
        <v>0</v>
      </c>
      <c r="L192" s="10">
        <f t="shared" si="56"/>
        <v>0</v>
      </c>
      <c r="M192" s="2"/>
      <c r="N192" s="28"/>
    </row>
    <row r="193" spans="1:14" ht="30" hidden="1" customHeight="1" x14ac:dyDescent="0.25">
      <c r="A193" s="32"/>
      <c r="B193" s="30" t="s">
        <v>65</v>
      </c>
      <c r="C193" s="7">
        <f>C194</f>
        <v>0</v>
      </c>
      <c r="D193" s="7"/>
      <c r="E193" s="7"/>
      <c r="F193" s="7"/>
      <c r="G193" s="7">
        <f t="shared" si="56"/>
        <v>0</v>
      </c>
      <c r="H193" s="7">
        <f t="shared" si="56"/>
        <v>0</v>
      </c>
      <c r="I193" s="7"/>
      <c r="J193" s="7"/>
      <c r="K193" s="7">
        <f t="shared" si="56"/>
        <v>0</v>
      </c>
      <c r="L193" s="7">
        <f t="shared" si="56"/>
        <v>0</v>
      </c>
      <c r="M193" s="2"/>
      <c r="N193" s="28"/>
    </row>
    <row r="194" spans="1:14" ht="15.75" hidden="1" customHeight="1" x14ac:dyDescent="0.25">
      <c r="A194" s="32"/>
      <c r="B194" s="47"/>
      <c r="C194" s="7"/>
      <c r="D194" s="7"/>
      <c r="E194" s="93"/>
      <c r="F194" s="7"/>
      <c r="G194" s="93"/>
      <c r="H194" s="7"/>
      <c r="I194" s="7"/>
      <c r="J194" s="7"/>
      <c r="K194" s="7"/>
      <c r="L194" s="7"/>
      <c r="M194" s="2"/>
      <c r="N194" s="28"/>
    </row>
    <row r="195" spans="1:14" ht="42.75" x14ac:dyDescent="0.25">
      <c r="A195" s="34" t="s">
        <v>173</v>
      </c>
      <c r="B195" s="94" t="s">
        <v>126</v>
      </c>
      <c r="C195" s="10">
        <f t="shared" ref="C195:L196" si="57">C196</f>
        <v>0</v>
      </c>
      <c r="D195" s="10"/>
      <c r="E195" s="10"/>
      <c r="F195" s="10"/>
      <c r="G195" s="10">
        <f t="shared" si="57"/>
        <v>6160626</v>
      </c>
      <c r="H195" s="10">
        <f t="shared" si="57"/>
        <v>0</v>
      </c>
      <c r="I195" s="10"/>
      <c r="J195" s="10"/>
      <c r="K195" s="10">
        <f t="shared" si="57"/>
        <v>3005546</v>
      </c>
      <c r="L195" s="10">
        <f t="shared" si="57"/>
        <v>3005546</v>
      </c>
      <c r="M195" s="2"/>
      <c r="N195" s="28"/>
    </row>
    <row r="196" spans="1:14" ht="30" x14ac:dyDescent="0.25">
      <c r="A196" s="34"/>
      <c r="B196" s="30" t="s">
        <v>65</v>
      </c>
      <c r="C196" s="7">
        <f>C197</f>
        <v>0</v>
      </c>
      <c r="D196" s="7"/>
      <c r="E196" s="7"/>
      <c r="F196" s="7"/>
      <c r="G196" s="7">
        <f t="shared" si="57"/>
        <v>6160626</v>
      </c>
      <c r="H196" s="7">
        <f t="shared" si="57"/>
        <v>0</v>
      </c>
      <c r="I196" s="7"/>
      <c r="J196" s="7"/>
      <c r="K196" s="7">
        <f t="shared" si="57"/>
        <v>3005546</v>
      </c>
      <c r="L196" s="7">
        <f t="shared" si="57"/>
        <v>3005546</v>
      </c>
      <c r="M196" s="2"/>
      <c r="N196" s="28"/>
    </row>
    <row r="197" spans="1:14" ht="45" x14ac:dyDescent="0.25">
      <c r="A197" s="34"/>
      <c r="B197" s="35" t="s">
        <v>255</v>
      </c>
      <c r="C197" s="9"/>
      <c r="D197" s="9"/>
      <c r="E197" s="12"/>
      <c r="F197" s="9"/>
      <c r="G197" s="12">
        <v>6160626</v>
      </c>
      <c r="H197" s="9"/>
      <c r="I197" s="9"/>
      <c r="J197" s="9"/>
      <c r="K197" s="9">
        <v>3005546</v>
      </c>
      <c r="L197" s="9">
        <v>3005546</v>
      </c>
      <c r="M197" s="2" t="s">
        <v>550</v>
      </c>
      <c r="N197" s="28"/>
    </row>
    <row r="198" spans="1:14" ht="102.75" customHeight="1" x14ac:dyDescent="0.25">
      <c r="A198" s="95" t="s">
        <v>256</v>
      </c>
      <c r="B198" s="96" t="s">
        <v>257</v>
      </c>
      <c r="C198" s="10">
        <f>C199</f>
        <v>51509200</v>
      </c>
      <c r="D198" s="10"/>
      <c r="E198" s="10"/>
      <c r="F198" s="10"/>
      <c r="G198" s="10">
        <f t="shared" ref="G198:L198" si="58">G199</f>
        <v>0</v>
      </c>
      <c r="H198" s="10">
        <f t="shared" si="58"/>
        <v>0</v>
      </c>
      <c r="I198" s="10"/>
      <c r="J198" s="10"/>
      <c r="K198" s="10">
        <f t="shared" si="58"/>
        <v>0</v>
      </c>
      <c r="L198" s="10">
        <f t="shared" si="58"/>
        <v>0</v>
      </c>
      <c r="M198" s="2"/>
      <c r="N198" s="28"/>
    </row>
    <row r="199" spans="1:14" ht="30" x14ac:dyDescent="0.25">
      <c r="A199" s="95"/>
      <c r="B199" s="30" t="s">
        <v>65</v>
      </c>
      <c r="C199" s="7">
        <f>C200</f>
        <v>51509200</v>
      </c>
      <c r="D199" s="7"/>
      <c r="E199" s="7"/>
      <c r="F199" s="7"/>
      <c r="G199" s="7">
        <f t="shared" ref="G199:L199" si="59">G200</f>
        <v>0</v>
      </c>
      <c r="H199" s="7">
        <f t="shared" si="59"/>
        <v>0</v>
      </c>
      <c r="I199" s="7"/>
      <c r="J199" s="7"/>
      <c r="K199" s="7">
        <f t="shared" si="59"/>
        <v>0</v>
      </c>
      <c r="L199" s="7">
        <f t="shared" si="59"/>
        <v>0</v>
      </c>
      <c r="M199" s="2"/>
      <c r="N199" s="28"/>
    </row>
    <row r="200" spans="1:14" ht="122.25" customHeight="1" x14ac:dyDescent="0.25">
      <c r="A200" s="34"/>
      <c r="B200" s="35" t="s">
        <v>569</v>
      </c>
      <c r="C200" s="9">
        <v>51509200</v>
      </c>
      <c r="D200" s="9"/>
      <c r="E200" s="12"/>
      <c r="F200" s="9"/>
      <c r="G200" s="12"/>
      <c r="H200" s="9"/>
      <c r="I200" s="9"/>
      <c r="J200" s="9"/>
      <c r="K200" s="9"/>
      <c r="L200" s="9"/>
      <c r="M200" s="2" t="s">
        <v>613</v>
      </c>
      <c r="N200" s="28"/>
    </row>
    <row r="201" spans="1:14" ht="15.75" hidden="1" customHeight="1" x14ac:dyDescent="0.25">
      <c r="A201" s="34"/>
      <c r="B201" s="30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2"/>
      <c r="N201" s="28"/>
    </row>
    <row r="202" spans="1:14" ht="57" x14ac:dyDescent="0.25">
      <c r="A202" s="32" t="s">
        <v>24</v>
      </c>
      <c r="B202" s="79" t="s">
        <v>25</v>
      </c>
      <c r="C202" s="10">
        <f>C203+C210</f>
        <v>0</v>
      </c>
      <c r="D202" s="10"/>
      <c r="E202" s="10"/>
      <c r="F202" s="10"/>
      <c r="G202" s="10">
        <f t="shared" ref="G202:L202" si="60">G203+G210</f>
        <v>15719507</v>
      </c>
      <c r="H202" s="10">
        <f t="shared" si="60"/>
        <v>0</v>
      </c>
      <c r="I202" s="10"/>
      <c r="J202" s="10"/>
      <c r="K202" s="10">
        <f t="shared" si="60"/>
        <v>327637</v>
      </c>
      <c r="L202" s="10">
        <f t="shared" si="60"/>
        <v>327637</v>
      </c>
      <c r="M202" s="2"/>
      <c r="N202" s="28"/>
    </row>
    <row r="203" spans="1:14" ht="57" x14ac:dyDescent="0.25">
      <c r="A203" s="32" t="s">
        <v>26</v>
      </c>
      <c r="B203" s="79" t="s">
        <v>27</v>
      </c>
      <c r="C203" s="10">
        <f>C204</f>
        <v>0</v>
      </c>
      <c r="D203" s="10"/>
      <c r="E203" s="10"/>
      <c r="F203" s="10"/>
      <c r="G203" s="10">
        <f t="shared" ref="G203:L203" si="61">G204</f>
        <v>15719507</v>
      </c>
      <c r="H203" s="10">
        <f t="shared" si="61"/>
        <v>0</v>
      </c>
      <c r="I203" s="10"/>
      <c r="J203" s="10"/>
      <c r="K203" s="10">
        <f t="shared" si="61"/>
        <v>322637</v>
      </c>
      <c r="L203" s="10">
        <f t="shared" si="61"/>
        <v>322637</v>
      </c>
      <c r="M203" s="2"/>
      <c r="N203" s="28"/>
    </row>
    <row r="204" spans="1:14" ht="45" x14ac:dyDescent="0.25">
      <c r="A204" s="97"/>
      <c r="B204" s="42" t="s">
        <v>28</v>
      </c>
      <c r="C204" s="7">
        <f>SUM(C205:C209)</f>
        <v>0</v>
      </c>
      <c r="D204" s="7"/>
      <c r="E204" s="7"/>
      <c r="F204" s="7"/>
      <c r="G204" s="7">
        <f t="shared" ref="G204:L204" si="62">SUM(G205:G209)</f>
        <v>15719507</v>
      </c>
      <c r="H204" s="7">
        <f t="shared" si="62"/>
        <v>0</v>
      </c>
      <c r="I204" s="7"/>
      <c r="J204" s="7"/>
      <c r="K204" s="7">
        <f t="shared" si="62"/>
        <v>322637</v>
      </c>
      <c r="L204" s="7">
        <f t="shared" si="62"/>
        <v>322637</v>
      </c>
      <c r="M204" s="2"/>
      <c r="N204" s="28"/>
    </row>
    <row r="205" spans="1:14" ht="31.5" customHeight="1" x14ac:dyDescent="0.25">
      <c r="A205" s="98"/>
      <c r="B205" s="99" t="s">
        <v>320</v>
      </c>
      <c r="C205" s="9"/>
      <c r="D205" s="9"/>
      <c r="E205" s="9"/>
      <c r="F205" s="9"/>
      <c r="G205" s="9">
        <v>1624000</v>
      </c>
      <c r="H205" s="9"/>
      <c r="I205" s="9"/>
      <c r="J205" s="9"/>
      <c r="K205" s="9"/>
      <c r="L205" s="9"/>
      <c r="M205" s="2" t="s">
        <v>562</v>
      </c>
      <c r="N205" s="28"/>
    </row>
    <row r="206" spans="1:14" ht="33" customHeight="1" x14ac:dyDescent="0.25">
      <c r="A206" s="98"/>
      <c r="B206" s="100" t="s">
        <v>320</v>
      </c>
      <c r="C206" s="9"/>
      <c r="D206" s="9"/>
      <c r="E206" s="9"/>
      <c r="F206" s="9"/>
      <c r="G206" s="9">
        <v>7942579</v>
      </c>
      <c r="H206" s="9"/>
      <c r="I206" s="9"/>
      <c r="J206" s="9"/>
      <c r="K206" s="9"/>
      <c r="L206" s="9"/>
      <c r="M206" s="2" t="s">
        <v>597</v>
      </c>
      <c r="N206" s="28"/>
    </row>
    <row r="207" spans="1:14" ht="60" x14ac:dyDescent="0.25">
      <c r="A207" s="98"/>
      <c r="B207" s="100" t="s">
        <v>638</v>
      </c>
      <c r="C207" s="9"/>
      <c r="D207" s="9"/>
      <c r="E207" s="9"/>
      <c r="F207" s="9"/>
      <c r="G207" s="9">
        <v>2569605</v>
      </c>
      <c r="H207" s="9"/>
      <c r="I207" s="9"/>
      <c r="J207" s="9"/>
      <c r="K207" s="9"/>
      <c r="L207" s="9"/>
      <c r="M207" s="2" t="s">
        <v>639</v>
      </c>
      <c r="N207" s="28"/>
    </row>
    <row r="208" spans="1:14" ht="63" x14ac:dyDescent="0.25">
      <c r="A208" s="98"/>
      <c r="B208" s="100"/>
      <c r="C208" s="9"/>
      <c r="D208" s="9"/>
      <c r="E208" s="9"/>
      <c r="F208" s="9"/>
      <c r="G208" s="9">
        <v>3583323</v>
      </c>
      <c r="H208" s="9"/>
      <c r="I208" s="9"/>
      <c r="J208" s="9"/>
      <c r="K208" s="9"/>
      <c r="L208" s="9"/>
      <c r="M208" s="2" t="s">
        <v>465</v>
      </c>
      <c r="N208" s="28"/>
    </row>
    <row r="209" spans="1:14" ht="47.25" hidden="1" customHeight="1" x14ac:dyDescent="0.25">
      <c r="A209" s="98"/>
      <c r="B209" s="100"/>
      <c r="C209" s="9"/>
      <c r="D209" s="9"/>
      <c r="E209" s="9"/>
      <c r="F209" s="9"/>
      <c r="G209" s="9"/>
      <c r="H209" s="9"/>
      <c r="I209" s="9"/>
      <c r="J209" s="9"/>
      <c r="K209" s="9">
        <v>322637</v>
      </c>
      <c r="L209" s="9">
        <v>322637</v>
      </c>
      <c r="M209" s="2" t="s">
        <v>604</v>
      </c>
      <c r="N209" s="28"/>
    </row>
    <row r="210" spans="1:14" ht="99.75" hidden="1" customHeight="1" x14ac:dyDescent="0.25">
      <c r="A210" s="32" t="s">
        <v>321</v>
      </c>
      <c r="B210" s="79" t="s">
        <v>322</v>
      </c>
      <c r="C210" s="10">
        <f>C211</f>
        <v>0</v>
      </c>
      <c r="D210" s="10"/>
      <c r="E210" s="10"/>
      <c r="F210" s="10"/>
      <c r="G210" s="10">
        <f t="shared" ref="G210:L210" si="63">G211</f>
        <v>0</v>
      </c>
      <c r="H210" s="10">
        <f t="shared" si="63"/>
        <v>0</v>
      </c>
      <c r="I210" s="10"/>
      <c r="J210" s="10"/>
      <c r="K210" s="10">
        <f t="shared" si="63"/>
        <v>5000</v>
      </c>
      <c r="L210" s="10">
        <f t="shared" si="63"/>
        <v>5000</v>
      </c>
      <c r="M210" s="2"/>
      <c r="N210" s="28"/>
    </row>
    <row r="211" spans="1:14" ht="45" hidden="1" customHeight="1" x14ac:dyDescent="0.25">
      <c r="A211" s="97"/>
      <c r="B211" s="42" t="s">
        <v>28</v>
      </c>
      <c r="C211" s="7">
        <f>C212</f>
        <v>0</v>
      </c>
      <c r="D211" s="7"/>
      <c r="E211" s="7"/>
      <c r="F211" s="7"/>
      <c r="G211" s="7">
        <f t="shared" ref="G211:L211" si="64">G212</f>
        <v>0</v>
      </c>
      <c r="H211" s="7">
        <f t="shared" si="64"/>
        <v>0</v>
      </c>
      <c r="I211" s="7"/>
      <c r="J211" s="7"/>
      <c r="K211" s="7">
        <f t="shared" si="64"/>
        <v>5000</v>
      </c>
      <c r="L211" s="7">
        <f t="shared" si="64"/>
        <v>5000</v>
      </c>
      <c r="M211" s="2"/>
      <c r="N211" s="28"/>
    </row>
    <row r="212" spans="1:14" ht="31.5" hidden="1" customHeight="1" x14ac:dyDescent="0.25">
      <c r="A212" s="98"/>
      <c r="B212" s="99"/>
      <c r="C212" s="9"/>
      <c r="D212" s="9"/>
      <c r="E212" s="9"/>
      <c r="F212" s="9"/>
      <c r="G212" s="9"/>
      <c r="H212" s="9"/>
      <c r="I212" s="7"/>
      <c r="J212" s="7"/>
      <c r="K212" s="7">
        <v>5000</v>
      </c>
      <c r="L212" s="7">
        <v>5000</v>
      </c>
      <c r="M212" s="2" t="s">
        <v>466</v>
      </c>
      <c r="N212" s="28"/>
    </row>
    <row r="213" spans="1:14" ht="99.75" x14ac:dyDescent="0.25">
      <c r="A213" s="32" t="s">
        <v>203</v>
      </c>
      <c r="B213" s="79" t="s">
        <v>29</v>
      </c>
      <c r="C213" s="10">
        <f>C217+C224+C231+C214</f>
        <v>0</v>
      </c>
      <c r="D213" s="10"/>
      <c r="E213" s="10"/>
      <c r="F213" s="10"/>
      <c r="G213" s="10">
        <f t="shared" ref="G213:K213" si="65">G217+G224+G231+G214</f>
        <v>457031</v>
      </c>
      <c r="H213" s="10">
        <f t="shared" si="65"/>
        <v>702860</v>
      </c>
      <c r="I213" s="10"/>
      <c r="J213" s="10"/>
      <c r="K213" s="10">
        <f t="shared" si="65"/>
        <v>0</v>
      </c>
      <c r="L213" s="10">
        <f>L217+L224+L231+L214</f>
        <v>547966</v>
      </c>
      <c r="M213" s="2"/>
      <c r="N213" s="28"/>
    </row>
    <row r="214" spans="1:14" ht="71.25" x14ac:dyDescent="0.25">
      <c r="A214" s="32" t="s">
        <v>556</v>
      </c>
      <c r="B214" s="101" t="s">
        <v>337</v>
      </c>
      <c r="C214" s="10">
        <f>C215</f>
        <v>0</v>
      </c>
      <c r="D214" s="10"/>
      <c r="E214" s="10"/>
      <c r="F214" s="10"/>
      <c r="G214" s="10">
        <f t="shared" ref="G214:L215" si="66">G215</f>
        <v>0</v>
      </c>
      <c r="H214" s="10">
        <f t="shared" si="66"/>
        <v>702860</v>
      </c>
      <c r="I214" s="10"/>
      <c r="J214" s="10"/>
      <c r="K214" s="10">
        <f t="shared" si="66"/>
        <v>0</v>
      </c>
      <c r="L214" s="10">
        <f t="shared" si="66"/>
        <v>0</v>
      </c>
      <c r="M214" s="2"/>
      <c r="N214" s="28"/>
    </row>
    <row r="215" spans="1:14" ht="45" x14ac:dyDescent="0.25">
      <c r="A215" s="32"/>
      <c r="B215" s="102" t="s">
        <v>30</v>
      </c>
      <c r="C215" s="9">
        <f>C216</f>
        <v>0</v>
      </c>
      <c r="D215" s="9"/>
      <c r="E215" s="9"/>
      <c r="F215" s="9"/>
      <c r="G215" s="9">
        <f t="shared" si="66"/>
        <v>0</v>
      </c>
      <c r="H215" s="7">
        <f t="shared" si="66"/>
        <v>702860</v>
      </c>
      <c r="I215" s="9"/>
      <c r="J215" s="9"/>
      <c r="K215" s="9">
        <f t="shared" si="66"/>
        <v>0</v>
      </c>
      <c r="L215" s="9">
        <f t="shared" si="66"/>
        <v>0</v>
      </c>
      <c r="M215" s="2"/>
      <c r="N215" s="28"/>
    </row>
    <row r="216" spans="1:14" ht="31.5" x14ac:dyDescent="0.25">
      <c r="A216" s="32"/>
      <c r="B216" s="79"/>
      <c r="C216" s="10"/>
      <c r="D216" s="10"/>
      <c r="E216" s="10"/>
      <c r="F216" s="9"/>
      <c r="G216" s="10"/>
      <c r="H216" s="9">
        <v>702860</v>
      </c>
      <c r="I216" s="10"/>
      <c r="J216" s="10"/>
      <c r="K216" s="10"/>
      <c r="L216" s="10"/>
      <c r="M216" s="2" t="s">
        <v>338</v>
      </c>
      <c r="N216" s="28"/>
    </row>
    <row r="217" spans="1:14" ht="85.5" hidden="1" customHeight="1" x14ac:dyDescent="0.25">
      <c r="A217" s="32" t="s">
        <v>75</v>
      </c>
      <c r="B217" s="101" t="s">
        <v>76</v>
      </c>
      <c r="C217" s="10">
        <f>C218+C220+C222</f>
        <v>0</v>
      </c>
      <c r="D217" s="10"/>
      <c r="E217" s="10"/>
      <c r="F217" s="10"/>
      <c r="G217" s="10">
        <f t="shared" ref="G217:H217" si="67">G218+G220+G222</f>
        <v>0</v>
      </c>
      <c r="H217" s="10">
        <f t="shared" si="67"/>
        <v>0</v>
      </c>
      <c r="I217" s="10"/>
      <c r="J217" s="10"/>
      <c r="K217" s="10">
        <f t="shared" ref="K217:L217" si="68">K218+K220+K222</f>
        <v>0</v>
      </c>
      <c r="L217" s="10">
        <f t="shared" si="68"/>
        <v>0</v>
      </c>
      <c r="M217" s="2"/>
      <c r="N217" s="28"/>
    </row>
    <row r="218" spans="1:14" ht="45" hidden="1" customHeight="1" x14ac:dyDescent="0.25">
      <c r="A218" s="32"/>
      <c r="B218" s="30" t="s">
        <v>44</v>
      </c>
      <c r="C218" s="7">
        <f>C219</f>
        <v>0</v>
      </c>
      <c r="D218" s="7"/>
      <c r="E218" s="7"/>
      <c r="F218" s="7"/>
      <c r="G218" s="7">
        <f t="shared" ref="G218:L218" si="69">G219</f>
        <v>0</v>
      </c>
      <c r="H218" s="7">
        <f t="shared" si="69"/>
        <v>0</v>
      </c>
      <c r="I218" s="7"/>
      <c r="J218" s="7"/>
      <c r="K218" s="7">
        <f t="shared" si="69"/>
        <v>0</v>
      </c>
      <c r="L218" s="7">
        <f t="shared" si="69"/>
        <v>0</v>
      </c>
      <c r="M218" s="2"/>
      <c r="N218" s="28"/>
    </row>
    <row r="219" spans="1:14" ht="15.75" hidden="1" customHeight="1" x14ac:dyDescent="0.25">
      <c r="A219" s="32"/>
      <c r="B219" s="30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2"/>
      <c r="N219" s="28"/>
    </row>
    <row r="220" spans="1:14" ht="30" hidden="1" customHeight="1" x14ac:dyDescent="0.25">
      <c r="A220" s="32"/>
      <c r="B220" s="42" t="s">
        <v>77</v>
      </c>
      <c r="C220" s="7">
        <f>C221</f>
        <v>0</v>
      </c>
      <c r="D220" s="7"/>
      <c r="E220" s="7"/>
      <c r="F220" s="7"/>
      <c r="G220" s="7">
        <f t="shared" ref="G220:L220" si="70">G221</f>
        <v>0</v>
      </c>
      <c r="H220" s="7">
        <f t="shared" si="70"/>
        <v>0</v>
      </c>
      <c r="I220" s="7"/>
      <c r="J220" s="7"/>
      <c r="K220" s="7">
        <f t="shared" si="70"/>
        <v>0</v>
      </c>
      <c r="L220" s="7">
        <f t="shared" si="70"/>
        <v>0</v>
      </c>
      <c r="M220" s="2"/>
      <c r="N220" s="28"/>
    </row>
    <row r="221" spans="1:14" ht="15.75" hidden="1" customHeight="1" x14ac:dyDescent="0.25">
      <c r="A221" s="32"/>
      <c r="B221" s="3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2"/>
      <c r="N221" s="28"/>
    </row>
    <row r="222" spans="1:14" ht="45" hidden="1" customHeight="1" x14ac:dyDescent="0.25">
      <c r="A222" s="32"/>
      <c r="B222" s="102" t="s">
        <v>30</v>
      </c>
      <c r="C222" s="7">
        <f>C223</f>
        <v>0</v>
      </c>
      <c r="D222" s="7"/>
      <c r="E222" s="7"/>
      <c r="F222" s="7"/>
      <c r="G222" s="7">
        <f t="shared" ref="G222:L222" si="71">G223</f>
        <v>0</v>
      </c>
      <c r="H222" s="7">
        <f t="shared" si="71"/>
        <v>0</v>
      </c>
      <c r="I222" s="7"/>
      <c r="J222" s="7"/>
      <c r="K222" s="7">
        <f t="shared" si="71"/>
        <v>0</v>
      </c>
      <c r="L222" s="7">
        <f t="shared" si="71"/>
        <v>0</v>
      </c>
      <c r="M222" s="2"/>
      <c r="N222" s="28"/>
    </row>
    <row r="223" spans="1:14" ht="15.75" hidden="1" customHeight="1" x14ac:dyDescent="0.25">
      <c r="A223" s="32"/>
      <c r="B223" s="3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2"/>
      <c r="N223" s="28"/>
    </row>
    <row r="224" spans="1:14" ht="99.75" x14ac:dyDescent="0.25">
      <c r="A224" s="32" t="s">
        <v>174</v>
      </c>
      <c r="B224" s="101" t="s">
        <v>104</v>
      </c>
      <c r="C224" s="10">
        <f t="shared" ref="C224:L224" si="72">C225</f>
        <v>0</v>
      </c>
      <c r="D224" s="10"/>
      <c r="E224" s="10"/>
      <c r="F224" s="10"/>
      <c r="G224" s="10">
        <f t="shared" si="72"/>
        <v>457031</v>
      </c>
      <c r="H224" s="10">
        <f t="shared" si="72"/>
        <v>0</v>
      </c>
      <c r="I224" s="10"/>
      <c r="J224" s="10"/>
      <c r="K224" s="10">
        <f t="shared" si="72"/>
        <v>0</v>
      </c>
      <c r="L224" s="10">
        <f t="shared" si="72"/>
        <v>46699</v>
      </c>
      <c r="M224" s="2"/>
      <c r="N224" s="28"/>
    </row>
    <row r="225" spans="1:14" ht="45" x14ac:dyDescent="0.25">
      <c r="A225" s="32"/>
      <c r="B225" s="102" t="s">
        <v>30</v>
      </c>
      <c r="C225" s="7">
        <f>SUM(C226:C230)</f>
        <v>0</v>
      </c>
      <c r="D225" s="7"/>
      <c r="E225" s="7"/>
      <c r="F225" s="7"/>
      <c r="G225" s="7">
        <f t="shared" ref="G225:L225" si="73">SUM(G226:G230)</f>
        <v>457031</v>
      </c>
      <c r="H225" s="7">
        <f t="shared" si="73"/>
        <v>0</v>
      </c>
      <c r="I225" s="7"/>
      <c r="J225" s="7"/>
      <c r="K225" s="7">
        <f t="shared" si="73"/>
        <v>0</v>
      </c>
      <c r="L225" s="7">
        <f t="shared" si="73"/>
        <v>46699</v>
      </c>
      <c r="M225" s="2"/>
      <c r="N225" s="28"/>
    </row>
    <row r="226" spans="1:14" ht="31.5" hidden="1" customHeight="1" x14ac:dyDescent="0.25">
      <c r="A226" s="32"/>
      <c r="B226" s="39"/>
      <c r="C226" s="7"/>
      <c r="D226" s="7"/>
      <c r="E226" s="7"/>
      <c r="F226" s="9"/>
      <c r="G226" s="7"/>
      <c r="H226" s="7"/>
      <c r="I226" s="7"/>
      <c r="J226" s="9"/>
      <c r="K226" s="7"/>
      <c r="L226" s="9">
        <v>46699</v>
      </c>
      <c r="M226" s="2" t="s">
        <v>339</v>
      </c>
      <c r="N226" s="28"/>
    </row>
    <row r="227" spans="1:14" ht="15.75" hidden="1" customHeight="1" x14ac:dyDescent="0.25">
      <c r="A227" s="32"/>
      <c r="B227" s="39"/>
      <c r="C227" s="7"/>
      <c r="D227" s="7"/>
      <c r="E227" s="9"/>
      <c r="F227" s="9"/>
      <c r="G227" s="9">
        <v>0</v>
      </c>
      <c r="H227" s="7"/>
      <c r="I227" s="7"/>
      <c r="J227" s="9"/>
      <c r="K227" s="7"/>
      <c r="L227" s="7"/>
      <c r="M227" s="2"/>
      <c r="N227" s="28"/>
    </row>
    <row r="228" spans="1:14" ht="15.75" hidden="1" customHeight="1" x14ac:dyDescent="0.25">
      <c r="A228" s="32"/>
      <c r="B228" s="39"/>
      <c r="C228" s="7"/>
      <c r="D228" s="7"/>
      <c r="E228" s="9"/>
      <c r="F228" s="9"/>
      <c r="G228" s="9"/>
      <c r="H228" s="7"/>
      <c r="I228" s="7"/>
      <c r="J228" s="7"/>
      <c r="K228" s="7"/>
      <c r="L228" s="7"/>
      <c r="M228" s="2"/>
      <c r="N228" s="28"/>
    </row>
    <row r="229" spans="1:14" ht="31.5" x14ac:dyDescent="0.25">
      <c r="A229" s="32"/>
      <c r="B229" s="39"/>
      <c r="C229" s="103"/>
      <c r="D229" s="103"/>
      <c r="E229" s="1"/>
      <c r="F229" s="20"/>
      <c r="G229" s="1">
        <v>457031</v>
      </c>
      <c r="H229" s="20"/>
      <c r="I229" s="1"/>
      <c r="J229" s="20"/>
      <c r="K229" s="20"/>
      <c r="L229" s="20"/>
      <c r="M229" s="2" t="s">
        <v>519</v>
      </c>
      <c r="N229" s="28"/>
    </row>
    <row r="230" spans="1:14" ht="15.75" hidden="1" customHeight="1" x14ac:dyDescent="0.25">
      <c r="A230" s="32"/>
      <c r="B230" s="39"/>
      <c r="C230" s="9"/>
      <c r="D230" s="9"/>
      <c r="E230" s="9"/>
      <c r="F230" s="9"/>
      <c r="G230" s="9">
        <v>0</v>
      </c>
      <c r="H230" s="9"/>
      <c r="I230" s="9"/>
      <c r="J230" s="9"/>
      <c r="K230" s="9"/>
      <c r="L230" s="9"/>
      <c r="M230" s="2"/>
      <c r="N230" s="28"/>
    </row>
    <row r="231" spans="1:14" ht="71.25" hidden="1" customHeight="1" x14ac:dyDescent="0.25">
      <c r="A231" s="32" t="s">
        <v>127</v>
      </c>
      <c r="B231" s="101" t="s">
        <v>128</v>
      </c>
      <c r="C231" s="10">
        <f>C232+C239+C236+C234</f>
        <v>0</v>
      </c>
      <c r="D231" s="10"/>
      <c r="E231" s="10"/>
      <c r="F231" s="10"/>
      <c r="G231" s="10">
        <f t="shared" ref="G231:H231" si="74">G232+G239+G236+G234</f>
        <v>0</v>
      </c>
      <c r="H231" s="10">
        <f t="shared" si="74"/>
        <v>0</v>
      </c>
      <c r="I231" s="10"/>
      <c r="J231" s="10"/>
      <c r="K231" s="10">
        <f t="shared" ref="K231:L231" si="75">K232+K239+K236+K234</f>
        <v>0</v>
      </c>
      <c r="L231" s="10">
        <f t="shared" si="75"/>
        <v>501267</v>
      </c>
      <c r="M231" s="2"/>
      <c r="N231" s="28"/>
    </row>
    <row r="232" spans="1:14" ht="15.75" hidden="1" customHeight="1" x14ac:dyDescent="0.25">
      <c r="A232" s="32"/>
      <c r="B232" s="102" t="s">
        <v>34</v>
      </c>
      <c r="C232" s="7">
        <f>C233</f>
        <v>0</v>
      </c>
      <c r="D232" s="7"/>
      <c r="E232" s="7"/>
      <c r="F232" s="7"/>
      <c r="G232" s="7">
        <f t="shared" ref="G232:L232" si="76">G233</f>
        <v>0</v>
      </c>
      <c r="H232" s="7">
        <f t="shared" si="76"/>
        <v>0</v>
      </c>
      <c r="I232" s="7"/>
      <c r="J232" s="7"/>
      <c r="K232" s="7">
        <f t="shared" si="76"/>
        <v>0</v>
      </c>
      <c r="L232" s="7">
        <f t="shared" si="76"/>
        <v>0</v>
      </c>
      <c r="M232" s="2"/>
      <c r="N232" s="28"/>
    </row>
    <row r="233" spans="1:14" ht="15.75" hidden="1" customHeight="1" x14ac:dyDescent="0.25">
      <c r="A233" s="32"/>
      <c r="B233" s="3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2"/>
      <c r="N233" s="28"/>
    </row>
    <row r="234" spans="1:14" ht="90" hidden="1" customHeight="1" x14ac:dyDescent="0.25">
      <c r="A234" s="32"/>
      <c r="B234" s="42" t="s">
        <v>139</v>
      </c>
      <c r="C234" s="9">
        <f>C235</f>
        <v>0</v>
      </c>
      <c r="D234" s="9"/>
      <c r="E234" s="9"/>
      <c r="F234" s="9"/>
      <c r="G234" s="9">
        <f t="shared" ref="G234:L234" si="77">G235</f>
        <v>0</v>
      </c>
      <c r="H234" s="9">
        <f t="shared" si="77"/>
        <v>0</v>
      </c>
      <c r="I234" s="9"/>
      <c r="J234" s="9"/>
      <c r="K234" s="9">
        <f t="shared" si="77"/>
        <v>0</v>
      </c>
      <c r="L234" s="9">
        <f t="shared" si="77"/>
        <v>0</v>
      </c>
      <c r="M234" s="2"/>
      <c r="N234" s="28"/>
    </row>
    <row r="235" spans="1:14" ht="15.75" hidden="1" customHeight="1" x14ac:dyDescent="0.25">
      <c r="A235" s="32"/>
      <c r="B235" s="3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2"/>
      <c r="N235" s="28"/>
    </row>
    <row r="236" spans="1:14" ht="30" hidden="1" customHeight="1" x14ac:dyDescent="0.25">
      <c r="A236" s="32"/>
      <c r="B236" s="42" t="s">
        <v>77</v>
      </c>
      <c r="C236" s="7">
        <f>C237</f>
        <v>0</v>
      </c>
      <c r="D236" s="7"/>
      <c r="E236" s="7"/>
      <c r="F236" s="7"/>
      <c r="G236" s="7">
        <f t="shared" ref="G236:L236" si="78">G237</f>
        <v>0</v>
      </c>
      <c r="H236" s="7">
        <f t="shared" si="78"/>
        <v>0</v>
      </c>
      <c r="I236" s="7"/>
      <c r="J236" s="7"/>
      <c r="K236" s="7">
        <f t="shared" si="78"/>
        <v>0</v>
      </c>
      <c r="L236" s="7">
        <f t="shared" si="78"/>
        <v>0</v>
      </c>
      <c r="M236" s="2"/>
      <c r="N236" s="28"/>
    </row>
    <row r="237" spans="1:14" ht="15.75" hidden="1" customHeight="1" x14ac:dyDescent="0.25">
      <c r="A237" s="32"/>
      <c r="B237" s="3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2"/>
      <c r="N237" s="28"/>
    </row>
    <row r="238" spans="1:14" ht="15.75" hidden="1" customHeight="1" x14ac:dyDescent="0.25">
      <c r="A238" s="32"/>
      <c r="B238" s="3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2"/>
      <c r="N238" s="28"/>
    </row>
    <row r="239" spans="1:14" ht="45" hidden="1" customHeight="1" x14ac:dyDescent="0.25">
      <c r="A239" s="32"/>
      <c r="B239" s="102" t="s">
        <v>30</v>
      </c>
      <c r="C239" s="7">
        <f>C240+C241+C242+C243+C244</f>
        <v>0</v>
      </c>
      <c r="D239" s="7"/>
      <c r="E239" s="7"/>
      <c r="F239" s="7"/>
      <c r="G239" s="7">
        <f t="shared" ref="G239:H239" si="79">G240+G241+G242+G243+G244</f>
        <v>0</v>
      </c>
      <c r="H239" s="7">
        <f t="shared" si="79"/>
        <v>0</v>
      </c>
      <c r="I239" s="7"/>
      <c r="J239" s="7"/>
      <c r="K239" s="7">
        <f t="shared" ref="K239:L239" si="80">K240+K241+K242+K243+K244</f>
        <v>0</v>
      </c>
      <c r="L239" s="7">
        <f t="shared" si="80"/>
        <v>501267</v>
      </c>
      <c r="M239" s="2"/>
      <c r="N239" s="28"/>
    </row>
    <row r="240" spans="1:14" ht="31.5" hidden="1" customHeight="1" x14ac:dyDescent="0.25">
      <c r="A240" s="32"/>
      <c r="B240" s="39"/>
      <c r="C240" s="9"/>
      <c r="D240" s="9"/>
      <c r="E240" s="9"/>
      <c r="F240" s="9"/>
      <c r="G240" s="9"/>
      <c r="H240" s="9"/>
      <c r="I240" s="9"/>
      <c r="J240" s="9"/>
      <c r="K240" s="9"/>
      <c r="L240" s="9">
        <v>501267</v>
      </c>
      <c r="M240" s="2" t="s">
        <v>341</v>
      </c>
      <c r="N240" s="28"/>
    </row>
    <row r="241" spans="1:14" ht="15.75" hidden="1" customHeight="1" x14ac:dyDescent="0.25">
      <c r="A241" s="32"/>
      <c r="B241" s="3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2"/>
      <c r="N241" s="28"/>
    </row>
    <row r="242" spans="1:14" ht="15.75" hidden="1" customHeight="1" x14ac:dyDescent="0.25">
      <c r="A242" s="32"/>
      <c r="B242" s="3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2"/>
      <c r="N242" s="28"/>
    </row>
    <row r="243" spans="1:14" ht="15.75" hidden="1" customHeight="1" x14ac:dyDescent="0.25">
      <c r="A243" s="32"/>
      <c r="B243" s="3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2"/>
      <c r="N243" s="28"/>
    </row>
    <row r="244" spans="1:14" ht="15.75" hidden="1" customHeight="1" x14ac:dyDescent="0.25">
      <c r="A244" s="32"/>
      <c r="B244" s="102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2"/>
      <c r="N244" s="28"/>
    </row>
    <row r="245" spans="1:14" ht="128.25" x14ac:dyDescent="0.25">
      <c r="A245" s="32" t="s">
        <v>175</v>
      </c>
      <c r="B245" s="79" t="s">
        <v>31</v>
      </c>
      <c r="C245" s="10">
        <f t="shared" ref="C245" si="81">C246+C249+C262</f>
        <v>0</v>
      </c>
      <c r="D245" s="10"/>
      <c r="E245" s="10"/>
      <c r="F245" s="10"/>
      <c r="G245" s="10">
        <f t="shared" ref="G245:H245" si="82">G246+G249+G262</f>
        <v>43871447</v>
      </c>
      <c r="H245" s="10">
        <f t="shared" si="82"/>
        <v>0</v>
      </c>
      <c r="I245" s="10"/>
      <c r="J245" s="10"/>
      <c r="K245" s="10">
        <f t="shared" ref="K245:L245" si="83">K246+K249+K262</f>
        <v>0</v>
      </c>
      <c r="L245" s="10">
        <f t="shared" si="83"/>
        <v>0</v>
      </c>
      <c r="M245" s="2"/>
      <c r="N245" s="28"/>
    </row>
    <row r="246" spans="1:14" ht="156.75" hidden="1" customHeight="1" x14ac:dyDescent="0.25">
      <c r="A246" s="32" t="s">
        <v>105</v>
      </c>
      <c r="B246" s="101" t="s">
        <v>106</v>
      </c>
      <c r="C246" s="10">
        <f t="shared" ref="C246:L247" si="84">C247</f>
        <v>0</v>
      </c>
      <c r="D246" s="10"/>
      <c r="E246" s="10"/>
      <c r="F246" s="10"/>
      <c r="G246" s="10">
        <f t="shared" si="84"/>
        <v>0</v>
      </c>
      <c r="H246" s="10">
        <f t="shared" si="84"/>
        <v>0</v>
      </c>
      <c r="I246" s="10"/>
      <c r="J246" s="10"/>
      <c r="K246" s="10">
        <f t="shared" si="84"/>
        <v>0</v>
      </c>
      <c r="L246" s="10">
        <f t="shared" si="84"/>
        <v>0</v>
      </c>
      <c r="M246" s="2"/>
      <c r="N246" s="28"/>
    </row>
    <row r="247" spans="1:14" ht="45" hidden="1" customHeight="1" x14ac:dyDescent="0.25">
      <c r="A247" s="32"/>
      <c r="B247" s="42" t="s">
        <v>33</v>
      </c>
      <c r="C247" s="7">
        <f t="shared" si="84"/>
        <v>0</v>
      </c>
      <c r="D247" s="7"/>
      <c r="E247" s="7"/>
      <c r="F247" s="7"/>
      <c r="G247" s="7">
        <f>G248</f>
        <v>0</v>
      </c>
      <c r="H247" s="7">
        <f t="shared" si="84"/>
        <v>0</v>
      </c>
      <c r="I247" s="7"/>
      <c r="J247" s="7"/>
      <c r="K247" s="7">
        <f t="shared" si="84"/>
        <v>0</v>
      </c>
      <c r="L247" s="7">
        <f t="shared" si="84"/>
        <v>0</v>
      </c>
      <c r="M247" s="2"/>
      <c r="N247" s="28"/>
    </row>
    <row r="248" spans="1:14" ht="15.75" hidden="1" customHeight="1" x14ac:dyDescent="0.25">
      <c r="A248" s="32"/>
      <c r="B248" s="42"/>
      <c r="C248" s="7"/>
      <c r="D248" s="7"/>
      <c r="E248" s="7"/>
      <c r="F248" s="7"/>
      <c r="G248" s="7">
        <v>0</v>
      </c>
      <c r="H248" s="7"/>
      <c r="I248" s="7"/>
      <c r="J248" s="7"/>
      <c r="K248" s="7"/>
      <c r="L248" s="7"/>
      <c r="M248" s="2"/>
      <c r="N248" s="28"/>
    </row>
    <row r="249" spans="1:14" ht="85.5" x14ac:dyDescent="0.25">
      <c r="A249" s="32" t="s">
        <v>32</v>
      </c>
      <c r="B249" s="79" t="s">
        <v>129</v>
      </c>
      <c r="C249" s="10">
        <f t="shared" ref="C249:L249" si="85">C250</f>
        <v>0</v>
      </c>
      <c r="D249" s="10"/>
      <c r="E249" s="10"/>
      <c r="F249" s="10"/>
      <c r="G249" s="10">
        <f t="shared" si="85"/>
        <v>43871447</v>
      </c>
      <c r="H249" s="10">
        <f t="shared" si="85"/>
        <v>0</v>
      </c>
      <c r="I249" s="10"/>
      <c r="J249" s="10"/>
      <c r="K249" s="10">
        <f t="shared" si="85"/>
        <v>0</v>
      </c>
      <c r="L249" s="10">
        <f t="shared" si="85"/>
        <v>0</v>
      </c>
      <c r="M249" s="2"/>
      <c r="N249" s="28"/>
    </row>
    <row r="250" spans="1:14" ht="45" x14ac:dyDescent="0.25">
      <c r="A250" s="32"/>
      <c r="B250" s="102" t="s">
        <v>30</v>
      </c>
      <c r="C250" s="7">
        <f>SUM(C251:C261)</f>
        <v>0</v>
      </c>
      <c r="D250" s="7"/>
      <c r="E250" s="7"/>
      <c r="F250" s="7"/>
      <c r="G250" s="7">
        <f>SUM(G251:G265)</f>
        <v>43871447</v>
      </c>
      <c r="H250" s="7">
        <f t="shared" ref="H250:L250" si="86">SUM(H251:H261)</f>
        <v>0</v>
      </c>
      <c r="I250" s="7"/>
      <c r="J250" s="7"/>
      <c r="K250" s="7">
        <f t="shared" si="86"/>
        <v>0</v>
      </c>
      <c r="L250" s="7">
        <f t="shared" si="86"/>
        <v>0</v>
      </c>
      <c r="M250" s="2"/>
      <c r="N250" s="28"/>
    </row>
    <row r="251" spans="1:14" ht="15.75" hidden="1" customHeight="1" x14ac:dyDescent="0.25">
      <c r="A251" s="32"/>
      <c r="B251" s="39"/>
      <c r="C251" s="103"/>
      <c r="D251" s="103"/>
      <c r="E251" s="9"/>
      <c r="F251" s="9"/>
      <c r="G251" s="9"/>
      <c r="H251" s="9"/>
      <c r="I251" s="9"/>
      <c r="J251" s="9"/>
      <c r="K251" s="9"/>
      <c r="L251" s="9"/>
      <c r="M251" s="2"/>
      <c r="N251" s="28"/>
    </row>
    <row r="252" spans="1:14" ht="15.75" x14ac:dyDescent="0.25">
      <c r="A252" s="32"/>
      <c r="B252" s="104"/>
      <c r="C252" s="103"/>
      <c r="D252" s="103"/>
      <c r="E252" s="9"/>
      <c r="F252" s="9"/>
      <c r="G252" s="9">
        <v>2171447</v>
      </c>
      <c r="H252" s="9"/>
      <c r="I252" s="9"/>
      <c r="J252" s="9"/>
      <c r="K252" s="9"/>
      <c r="L252" s="9"/>
      <c r="M252" s="2" t="s">
        <v>563</v>
      </c>
      <c r="N252" s="28"/>
    </row>
    <row r="253" spans="1:14" ht="82.5" customHeight="1" x14ac:dyDescent="0.25">
      <c r="A253" s="32"/>
      <c r="B253" s="104" t="s">
        <v>342</v>
      </c>
      <c r="C253" s="9"/>
      <c r="D253" s="9"/>
      <c r="E253" s="9"/>
      <c r="F253" s="9"/>
      <c r="G253" s="9">
        <f>3000000+10000000+2100000+2000000+1000000+18000000</f>
        <v>36100000</v>
      </c>
      <c r="H253" s="9"/>
      <c r="I253" s="9"/>
      <c r="J253" s="9"/>
      <c r="K253" s="9"/>
      <c r="L253" s="9"/>
      <c r="M253" s="2" t="s">
        <v>640</v>
      </c>
      <c r="N253" s="28"/>
    </row>
    <row r="254" spans="1:14" ht="15.75" hidden="1" customHeight="1" x14ac:dyDescent="0.25">
      <c r="A254" s="32"/>
      <c r="B254" s="104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2"/>
      <c r="N254" s="28"/>
    </row>
    <row r="255" spans="1:14" ht="75" hidden="1" customHeight="1" x14ac:dyDescent="0.25">
      <c r="A255" s="32"/>
      <c r="B255" s="104" t="s">
        <v>343</v>
      </c>
      <c r="C255" s="9"/>
      <c r="D255" s="9"/>
      <c r="E255" s="9"/>
      <c r="F255" s="9"/>
      <c r="G255" s="9">
        <v>0</v>
      </c>
      <c r="H255" s="9"/>
      <c r="I255" s="9"/>
      <c r="J255" s="9"/>
      <c r="K255" s="9"/>
      <c r="L255" s="9"/>
      <c r="M255" s="2"/>
      <c r="N255" s="28"/>
    </row>
    <row r="256" spans="1:14" ht="15.75" hidden="1" customHeight="1" x14ac:dyDescent="0.25">
      <c r="A256" s="32"/>
      <c r="B256" s="104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2"/>
      <c r="N256" s="28"/>
    </row>
    <row r="257" spans="1:14" ht="15.75" hidden="1" customHeight="1" x14ac:dyDescent="0.25">
      <c r="A257" s="32"/>
      <c r="B257" s="105"/>
      <c r="C257" s="9"/>
      <c r="D257" s="9"/>
      <c r="E257" s="9"/>
      <c r="F257" s="9"/>
      <c r="G257" s="9">
        <v>0</v>
      </c>
      <c r="H257" s="9"/>
      <c r="I257" s="9"/>
      <c r="J257" s="9"/>
      <c r="K257" s="9"/>
      <c r="L257" s="9"/>
      <c r="M257" s="2"/>
      <c r="N257" s="28"/>
    </row>
    <row r="258" spans="1:14" ht="15.75" hidden="1" customHeight="1" x14ac:dyDescent="0.25">
      <c r="A258" s="32"/>
      <c r="B258" s="105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2"/>
      <c r="N258" s="28"/>
    </row>
    <row r="259" spans="1:14" ht="75" x14ac:dyDescent="0.25">
      <c r="A259" s="32"/>
      <c r="B259" s="106" t="s">
        <v>344</v>
      </c>
      <c r="C259" s="9"/>
      <c r="D259" s="9"/>
      <c r="E259" s="9"/>
      <c r="F259" s="9"/>
      <c r="G259" s="9">
        <v>600000</v>
      </c>
      <c r="H259" s="9"/>
      <c r="I259" s="9"/>
      <c r="J259" s="9"/>
      <c r="K259" s="9"/>
      <c r="L259" s="9"/>
      <c r="M259" s="2" t="s">
        <v>520</v>
      </c>
      <c r="N259" s="28"/>
    </row>
    <row r="260" spans="1:14" ht="90" hidden="1" customHeight="1" x14ac:dyDescent="0.25">
      <c r="A260" s="32"/>
      <c r="B260" s="105" t="s">
        <v>345</v>
      </c>
      <c r="C260" s="9"/>
      <c r="D260" s="9"/>
      <c r="E260" s="9"/>
      <c r="F260" s="9"/>
      <c r="G260" s="9">
        <v>0</v>
      </c>
      <c r="H260" s="9"/>
      <c r="I260" s="9"/>
      <c r="J260" s="9"/>
      <c r="K260" s="9"/>
      <c r="L260" s="9"/>
      <c r="M260" s="2"/>
      <c r="N260" s="28"/>
    </row>
    <row r="261" spans="1:14" ht="15.75" hidden="1" customHeight="1" x14ac:dyDescent="0.25">
      <c r="A261" s="32"/>
      <c r="B261" s="105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2"/>
      <c r="N261" s="28"/>
    </row>
    <row r="262" spans="1:14" ht="71.25" hidden="1" customHeight="1" x14ac:dyDescent="0.25">
      <c r="A262" s="32" t="s">
        <v>159</v>
      </c>
      <c r="B262" s="79" t="s">
        <v>160</v>
      </c>
      <c r="C262" s="10">
        <f>C263</f>
        <v>0</v>
      </c>
      <c r="D262" s="10"/>
      <c r="E262" s="10"/>
      <c r="F262" s="10"/>
      <c r="G262" s="10">
        <f t="shared" ref="G262:L263" si="87">G263</f>
        <v>0</v>
      </c>
      <c r="H262" s="10">
        <f t="shared" si="87"/>
        <v>0</v>
      </c>
      <c r="I262" s="10"/>
      <c r="J262" s="10"/>
      <c r="K262" s="10">
        <f t="shared" si="87"/>
        <v>0</v>
      </c>
      <c r="L262" s="10">
        <f t="shared" si="87"/>
        <v>0</v>
      </c>
      <c r="M262" s="2"/>
      <c r="N262" s="28"/>
    </row>
    <row r="263" spans="1:14" ht="45" hidden="1" customHeight="1" x14ac:dyDescent="0.25">
      <c r="A263" s="32"/>
      <c r="B263" s="42" t="s">
        <v>30</v>
      </c>
      <c r="C263" s="7">
        <f>C264</f>
        <v>0</v>
      </c>
      <c r="D263" s="7"/>
      <c r="E263" s="7"/>
      <c r="F263" s="7"/>
      <c r="G263" s="7">
        <f t="shared" si="87"/>
        <v>0</v>
      </c>
      <c r="H263" s="7">
        <f t="shared" si="87"/>
        <v>0</v>
      </c>
      <c r="I263" s="7"/>
      <c r="J263" s="7"/>
      <c r="K263" s="7">
        <f t="shared" si="87"/>
        <v>0</v>
      </c>
      <c r="L263" s="7">
        <f t="shared" si="87"/>
        <v>0</v>
      </c>
      <c r="M263" s="2"/>
      <c r="N263" s="28"/>
    </row>
    <row r="264" spans="1:14" ht="15.75" hidden="1" customHeight="1" x14ac:dyDescent="0.25">
      <c r="A264" s="32"/>
      <c r="B264" s="104"/>
      <c r="C264" s="9"/>
      <c r="D264" s="9"/>
      <c r="E264" s="9"/>
      <c r="F264" s="9"/>
      <c r="G264" s="9">
        <v>0</v>
      </c>
      <c r="H264" s="9"/>
      <c r="I264" s="9"/>
      <c r="J264" s="9"/>
      <c r="K264" s="9"/>
      <c r="L264" s="9"/>
      <c r="M264" s="2"/>
      <c r="N264" s="28"/>
    </row>
    <row r="265" spans="1:14" ht="47.25" x14ac:dyDescent="0.25">
      <c r="A265" s="32"/>
      <c r="B265" s="104"/>
      <c r="C265" s="9"/>
      <c r="D265" s="9"/>
      <c r="E265" s="9"/>
      <c r="F265" s="9"/>
      <c r="G265" s="9">
        <v>5000000</v>
      </c>
      <c r="H265" s="9"/>
      <c r="I265" s="9"/>
      <c r="J265" s="9"/>
      <c r="K265" s="9"/>
      <c r="L265" s="9"/>
      <c r="M265" s="2" t="s">
        <v>549</v>
      </c>
      <c r="N265" s="28"/>
    </row>
    <row r="266" spans="1:14" ht="57" x14ac:dyDescent="0.25">
      <c r="A266" s="32" t="s">
        <v>176</v>
      </c>
      <c r="B266" s="88" t="s">
        <v>12</v>
      </c>
      <c r="C266" s="107">
        <f t="shared" ref="C266:L266" si="88">C267+C289+C297+C300+C303</f>
        <v>0</v>
      </c>
      <c r="D266" s="107"/>
      <c r="E266" s="107"/>
      <c r="F266" s="107"/>
      <c r="G266" s="107">
        <f t="shared" si="88"/>
        <v>94174865</v>
      </c>
      <c r="H266" s="107">
        <f t="shared" si="88"/>
        <v>297250</v>
      </c>
      <c r="I266" s="107"/>
      <c r="J266" s="107"/>
      <c r="K266" s="107">
        <f t="shared" si="88"/>
        <v>15773733</v>
      </c>
      <c r="L266" s="107">
        <f t="shared" si="88"/>
        <v>15773733</v>
      </c>
      <c r="M266" s="2"/>
      <c r="N266" s="28"/>
    </row>
    <row r="267" spans="1:14" ht="57" x14ac:dyDescent="0.25">
      <c r="A267" s="32" t="s">
        <v>177</v>
      </c>
      <c r="B267" s="79" t="s">
        <v>59</v>
      </c>
      <c r="C267" s="10">
        <f t="shared" ref="C267:L267" si="89">C268</f>
        <v>0</v>
      </c>
      <c r="D267" s="10"/>
      <c r="E267" s="10"/>
      <c r="F267" s="10"/>
      <c r="G267" s="10">
        <f t="shared" si="89"/>
        <v>94174865</v>
      </c>
      <c r="H267" s="10">
        <f t="shared" si="89"/>
        <v>0</v>
      </c>
      <c r="I267" s="10"/>
      <c r="J267" s="10"/>
      <c r="K267" s="10">
        <f t="shared" si="89"/>
        <v>1000000</v>
      </c>
      <c r="L267" s="10">
        <f t="shared" si="89"/>
        <v>1000000</v>
      </c>
      <c r="M267" s="2"/>
      <c r="N267" s="28"/>
    </row>
    <row r="268" spans="1:14" ht="30" x14ac:dyDescent="0.25">
      <c r="A268" s="32"/>
      <c r="B268" s="30" t="s">
        <v>3</v>
      </c>
      <c r="C268" s="7">
        <f>SUM(C269:C287)</f>
        <v>0</v>
      </c>
      <c r="D268" s="7"/>
      <c r="E268" s="7"/>
      <c r="F268" s="7"/>
      <c r="G268" s="7">
        <f>SUM(G269:G288)</f>
        <v>94174865</v>
      </c>
      <c r="H268" s="7">
        <f t="shared" ref="H268:L268" si="90">SUM(H269:H287)</f>
        <v>0</v>
      </c>
      <c r="I268" s="7"/>
      <c r="J268" s="7"/>
      <c r="K268" s="7">
        <f t="shared" si="90"/>
        <v>1000000</v>
      </c>
      <c r="L268" s="7">
        <f t="shared" si="90"/>
        <v>1000000</v>
      </c>
      <c r="M268" s="2"/>
      <c r="N268" s="28"/>
    </row>
    <row r="269" spans="1:14" ht="60" x14ac:dyDescent="0.25">
      <c r="A269" s="32"/>
      <c r="B269" s="106" t="s">
        <v>323</v>
      </c>
      <c r="C269" s="7"/>
      <c r="D269" s="7"/>
      <c r="E269" s="9"/>
      <c r="F269" s="7"/>
      <c r="G269" s="9">
        <f>92092106-14385006-32475938+4888830</f>
        <v>50119992</v>
      </c>
      <c r="H269" s="7"/>
      <c r="I269" s="7"/>
      <c r="J269" s="7"/>
      <c r="K269" s="7"/>
      <c r="L269" s="7"/>
      <c r="M269" s="2" t="s">
        <v>423</v>
      </c>
      <c r="N269" s="28"/>
    </row>
    <row r="270" spans="1:14" ht="47.25" x14ac:dyDescent="0.25">
      <c r="A270" s="32"/>
      <c r="B270" s="106" t="s">
        <v>292</v>
      </c>
      <c r="C270" s="7"/>
      <c r="D270" s="7"/>
      <c r="E270" s="9"/>
      <c r="F270" s="7"/>
      <c r="G270" s="9">
        <v>22584075</v>
      </c>
      <c r="H270" s="7"/>
      <c r="I270" s="7"/>
      <c r="J270" s="7"/>
      <c r="K270" s="7"/>
      <c r="L270" s="7"/>
      <c r="M270" s="2" t="s">
        <v>424</v>
      </c>
      <c r="N270" s="28"/>
    </row>
    <row r="271" spans="1:14" ht="63" x14ac:dyDescent="0.25">
      <c r="A271" s="32"/>
      <c r="B271" s="106" t="s">
        <v>292</v>
      </c>
      <c r="C271" s="7"/>
      <c r="D271" s="7"/>
      <c r="E271" s="9"/>
      <c r="F271" s="7"/>
      <c r="G271" s="9">
        <v>5819290</v>
      </c>
      <c r="H271" s="7"/>
      <c r="I271" s="7"/>
      <c r="J271" s="7"/>
      <c r="K271" s="7"/>
      <c r="L271" s="7"/>
      <c r="M271" s="2" t="s">
        <v>425</v>
      </c>
      <c r="N271" s="28"/>
    </row>
    <row r="272" spans="1:14" ht="31.5" x14ac:dyDescent="0.25">
      <c r="A272" s="32"/>
      <c r="B272" s="106" t="s">
        <v>292</v>
      </c>
      <c r="C272" s="7"/>
      <c r="D272" s="7"/>
      <c r="E272" s="9"/>
      <c r="F272" s="7"/>
      <c r="G272" s="9">
        <v>11047192</v>
      </c>
      <c r="H272" s="7"/>
      <c r="I272" s="7"/>
      <c r="J272" s="7"/>
      <c r="K272" s="7"/>
      <c r="L272" s="7"/>
      <c r="M272" s="2" t="s">
        <v>564</v>
      </c>
      <c r="N272" s="28"/>
    </row>
    <row r="273" spans="1:14" ht="30" hidden="1" customHeight="1" x14ac:dyDescent="0.25">
      <c r="A273" s="32"/>
      <c r="B273" s="106" t="s">
        <v>292</v>
      </c>
      <c r="C273" s="7"/>
      <c r="D273" s="7"/>
      <c r="E273" s="9"/>
      <c r="F273" s="7"/>
      <c r="G273" s="9"/>
      <c r="H273" s="7"/>
      <c r="I273" s="7"/>
      <c r="J273" s="7"/>
      <c r="K273" s="7"/>
      <c r="L273" s="7"/>
      <c r="M273" s="2"/>
      <c r="N273" s="28"/>
    </row>
    <row r="274" spans="1:14" ht="30" hidden="1" customHeight="1" x14ac:dyDescent="0.25">
      <c r="A274" s="32"/>
      <c r="B274" s="106" t="s">
        <v>292</v>
      </c>
      <c r="C274" s="7"/>
      <c r="D274" s="7"/>
      <c r="E274" s="9"/>
      <c r="F274" s="7"/>
      <c r="G274" s="9"/>
      <c r="H274" s="7"/>
      <c r="I274" s="7"/>
      <c r="J274" s="7"/>
      <c r="K274" s="7"/>
      <c r="L274" s="7"/>
      <c r="M274" s="2"/>
      <c r="N274" s="28"/>
    </row>
    <row r="275" spans="1:14" ht="47.25" x14ac:dyDescent="0.25">
      <c r="A275" s="32"/>
      <c r="B275" s="106" t="s">
        <v>293</v>
      </c>
      <c r="C275" s="7"/>
      <c r="D275" s="7"/>
      <c r="E275" s="9"/>
      <c r="F275" s="7"/>
      <c r="G275" s="9">
        <v>3430316</v>
      </c>
      <c r="H275" s="7"/>
      <c r="I275" s="7"/>
      <c r="J275" s="7"/>
      <c r="K275" s="7"/>
      <c r="L275" s="7"/>
      <c r="M275" s="2" t="s">
        <v>535</v>
      </c>
      <c r="N275" s="28"/>
    </row>
    <row r="276" spans="1:14" ht="15.75" hidden="1" customHeight="1" x14ac:dyDescent="0.25">
      <c r="A276" s="32"/>
      <c r="B276" s="106" t="s">
        <v>293</v>
      </c>
      <c r="C276" s="7"/>
      <c r="D276" s="7"/>
      <c r="E276" s="9"/>
      <c r="F276" s="7"/>
      <c r="G276" s="7"/>
      <c r="H276" s="7"/>
      <c r="I276" s="7"/>
      <c r="J276" s="7"/>
      <c r="K276" s="7"/>
      <c r="L276" s="7"/>
      <c r="M276" s="2"/>
      <c r="N276" s="28"/>
    </row>
    <row r="277" spans="1:14" ht="47.25" x14ac:dyDescent="0.25">
      <c r="A277" s="32"/>
      <c r="B277" s="106" t="s">
        <v>293</v>
      </c>
      <c r="C277" s="7"/>
      <c r="D277" s="7"/>
      <c r="E277" s="9"/>
      <c r="F277" s="7"/>
      <c r="G277" s="9">
        <v>152000</v>
      </c>
      <c r="H277" s="7"/>
      <c r="I277" s="7"/>
      <c r="J277" s="7"/>
      <c r="K277" s="7"/>
      <c r="L277" s="7"/>
      <c r="M277" s="2" t="s">
        <v>467</v>
      </c>
      <c r="N277" s="28"/>
    </row>
    <row r="278" spans="1:14" ht="15.75" hidden="1" customHeight="1" x14ac:dyDescent="0.25">
      <c r="A278" s="32"/>
      <c r="B278" s="106" t="s">
        <v>293</v>
      </c>
      <c r="C278" s="7"/>
      <c r="D278" s="7"/>
      <c r="E278" s="9"/>
      <c r="F278" s="7"/>
      <c r="G278" s="7"/>
      <c r="H278" s="7"/>
      <c r="I278" s="7"/>
      <c r="J278" s="7"/>
      <c r="K278" s="7"/>
      <c r="L278" s="7"/>
      <c r="M278" s="2"/>
      <c r="N278" s="28"/>
    </row>
    <row r="279" spans="1:14" ht="15.75" hidden="1" customHeight="1" x14ac:dyDescent="0.25">
      <c r="A279" s="32"/>
      <c r="B279" s="106" t="s">
        <v>293</v>
      </c>
      <c r="C279" s="7"/>
      <c r="D279" s="7"/>
      <c r="E279" s="9"/>
      <c r="F279" s="7"/>
      <c r="G279" s="7"/>
      <c r="H279" s="7"/>
      <c r="I279" s="7"/>
      <c r="J279" s="7"/>
      <c r="K279" s="7"/>
      <c r="L279" s="7"/>
      <c r="M279" s="2"/>
      <c r="N279" s="28"/>
    </row>
    <row r="280" spans="1:14" ht="15.75" hidden="1" customHeight="1" x14ac:dyDescent="0.25">
      <c r="A280" s="32"/>
      <c r="B280" s="106" t="s">
        <v>293</v>
      </c>
      <c r="C280" s="7"/>
      <c r="D280" s="7"/>
      <c r="E280" s="9"/>
      <c r="F280" s="7"/>
      <c r="G280" s="7"/>
      <c r="H280" s="7"/>
      <c r="I280" s="7"/>
      <c r="J280" s="7"/>
      <c r="K280" s="7"/>
      <c r="L280" s="7"/>
      <c r="M280" s="2"/>
      <c r="N280" s="28"/>
    </row>
    <row r="281" spans="1:14" ht="15.75" hidden="1" customHeight="1" x14ac:dyDescent="0.25">
      <c r="A281" s="32"/>
      <c r="B281" s="39" t="s">
        <v>293</v>
      </c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2"/>
      <c r="N281" s="28"/>
    </row>
    <row r="282" spans="1:14" ht="15.75" hidden="1" customHeight="1" x14ac:dyDescent="0.25">
      <c r="A282" s="32"/>
      <c r="B282" s="39" t="s">
        <v>293</v>
      </c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2"/>
      <c r="N282" s="28"/>
    </row>
    <row r="283" spans="1:14" ht="15.75" hidden="1" customHeight="1" x14ac:dyDescent="0.25">
      <c r="A283" s="32"/>
      <c r="B283" s="39" t="s">
        <v>293</v>
      </c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2"/>
      <c r="N283" s="28"/>
    </row>
    <row r="284" spans="1:14" ht="15.75" hidden="1" customHeight="1" x14ac:dyDescent="0.25">
      <c r="A284" s="32"/>
      <c r="B284" s="39" t="s">
        <v>293</v>
      </c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2"/>
      <c r="N284" s="28"/>
    </row>
    <row r="285" spans="1:14" ht="15.75" hidden="1" customHeight="1" x14ac:dyDescent="0.25">
      <c r="A285" s="32"/>
      <c r="B285" s="39" t="s">
        <v>293</v>
      </c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2"/>
      <c r="N285" s="28"/>
    </row>
    <row r="286" spans="1:14" ht="15.75" hidden="1" customHeight="1" x14ac:dyDescent="0.25">
      <c r="A286" s="32"/>
      <c r="B286" s="39" t="s">
        <v>293</v>
      </c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2"/>
      <c r="N286" s="28"/>
    </row>
    <row r="287" spans="1:14" ht="31.5" hidden="1" customHeight="1" x14ac:dyDescent="0.25">
      <c r="A287" s="32"/>
      <c r="B287" s="39"/>
      <c r="C287" s="9"/>
      <c r="D287" s="9"/>
      <c r="E287" s="9"/>
      <c r="F287" s="9"/>
      <c r="G287" s="9"/>
      <c r="H287" s="9"/>
      <c r="I287" s="9"/>
      <c r="J287" s="9"/>
      <c r="K287" s="9">
        <v>1000000</v>
      </c>
      <c r="L287" s="9">
        <v>1000000</v>
      </c>
      <c r="M287" s="2" t="s">
        <v>468</v>
      </c>
      <c r="N287" s="28"/>
    </row>
    <row r="288" spans="1:14" ht="63" x14ac:dyDescent="0.25">
      <c r="A288" s="32"/>
      <c r="B288" s="39"/>
      <c r="C288" s="9"/>
      <c r="D288" s="9"/>
      <c r="E288" s="9"/>
      <c r="F288" s="9"/>
      <c r="G288" s="9">
        <v>1022000</v>
      </c>
      <c r="H288" s="9"/>
      <c r="I288" s="9"/>
      <c r="J288" s="9"/>
      <c r="K288" s="9"/>
      <c r="L288" s="9"/>
      <c r="M288" s="2" t="s">
        <v>548</v>
      </c>
      <c r="N288" s="28"/>
    </row>
    <row r="289" spans="1:14" ht="57" x14ac:dyDescent="0.25">
      <c r="A289" s="32" t="s">
        <v>178</v>
      </c>
      <c r="B289" s="88" t="s">
        <v>13</v>
      </c>
      <c r="C289" s="107">
        <f>C292+C290</f>
        <v>0</v>
      </c>
      <c r="D289" s="107"/>
      <c r="E289" s="107"/>
      <c r="F289" s="107"/>
      <c r="G289" s="107">
        <f t="shared" ref="G289:L289" si="91">G292+G290</f>
        <v>0</v>
      </c>
      <c r="H289" s="107">
        <f t="shared" si="91"/>
        <v>297250</v>
      </c>
      <c r="I289" s="107"/>
      <c r="J289" s="107"/>
      <c r="K289" s="107">
        <f t="shared" si="91"/>
        <v>1609822</v>
      </c>
      <c r="L289" s="107">
        <f t="shared" si="91"/>
        <v>1609822</v>
      </c>
      <c r="M289" s="2"/>
      <c r="N289" s="28"/>
    </row>
    <row r="290" spans="1:14" ht="45" hidden="1" customHeight="1" x14ac:dyDescent="0.25">
      <c r="A290" s="32"/>
      <c r="B290" s="37" t="s">
        <v>142</v>
      </c>
      <c r="C290" s="3">
        <f>C291</f>
        <v>0</v>
      </c>
      <c r="D290" s="3"/>
      <c r="E290" s="3"/>
      <c r="F290" s="3"/>
      <c r="G290" s="3">
        <f t="shared" ref="G290:L290" si="92">G291</f>
        <v>0</v>
      </c>
      <c r="H290" s="3">
        <f t="shared" si="92"/>
        <v>0</v>
      </c>
      <c r="I290" s="3"/>
      <c r="J290" s="3"/>
      <c r="K290" s="3">
        <f t="shared" si="92"/>
        <v>0</v>
      </c>
      <c r="L290" s="3">
        <f t="shared" si="92"/>
        <v>0</v>
      </c>
      <c r="M290" s="2"/>
      <c r="N290" s="28"/>
    </row>
    <row r="291" spans="1:14" ht="30" hidden="1" customHeight="1" x14ac:dyDescent="0.25">
      <c r="A291" s="32"/>
      <c r="B291" s="41" t="s">
        <v>402</v>
      </c>
      <c r="C291" s="108"/>
      <c r="D291" s="108"/>
      <c r="E291" s="3"/>
      <c r="F291" s="108"/>
      <c r="G291" s="3">
        <v>0</v>
      </c>
      <c r="H291" s="3"/>
      <c r="I291" s="11"/>
      <c r="J291" s="108"/>
      <c r="K291" s="108"/>
      <c r="L291" s="108"/>
      <c r="M291" s="2"/>
      <c r="N291" s="28"/>
    </row>
    <row r="292" spans="1:14" ht="30" x14ac:dyDescent="0.25">
      <c r="A292" s="32"/>
      <c r="B292" s="30" t="s">
        <v>155</v>
      </c>
      <c r="C292" s="8">
        <f>SUM(C293:C296)</f>
        <v>0</v>
      </c>
      <c r="D292" s="8"/>
      <c r="E292" s="8"/>
      <c r="F292" s="8"/>
      <c r="G292" s="8">
        <f t="shared" ref="G292:L292" si="93">SUM(G293:G296)</f>
        <v>0</v>
      </c>
      <c r="H292" s="8">
        <f t="shared" si="93"/>
        <v>297250</v>
      </c>
      <c r="I292" s="8"/>
      <c r="J292" s="8"/>
      <c r="K292" s="8">
        <f t="shared" si="93"/>
        <v>1609822</v>
      </c>
      <c r="L292" s="8">
        <f t="shared" si="93"/>
        <v>1609822</v>
      </c>
      <c r="M292" s="2"/>
      <c r="N292" s="28"/>
    </row>
    <row r="293" spans="1:14" ht="60" x14ac:dyDescent="0.25">
      <c r="A293" s="109"/>
      <c r="B293" s="39" t="s">
        <v>403</v>
      </c>
      <c r="C293" s="4"/>
      <c r="D293" s="4"/>
      <c r="E293" s="4"/>
      <c r="F293" s="4"/>
      <c r="G293" s="3"/>
      <c r="H293" s="4">
        <v>297250</v>
      </c>
      <c r="I293" s="4"/>
      <c r="J293" s="4"/>
      <c r="K293" s="4"/>
      <c r="L293" s="4"/>
      <c r="M293" s="2" t="s">
        <v>469</v>
      </c>
      <c r="N293" s="28"/>
    </row>
    <row r="294" spans="1:14" ht="15.75" hidden="1" customHeight="1" x14ac:dyDescent="0.25">
      <c r="A294" s="109"/>
      <c r="B294" s="39" t="s">
        <v>404</v>
      </c>
      <c r="C294" s="4"/>
      <c r="D294" s="4"/>
      <c r="E294" s="4"/>
      <c r="F294" s="4"/>
      <c r="G294" s="4"/>
      <c r="H294" s="4"/>
      <c r="I294" s="4"/>
      <c r="J294" s="4"/>
      <c r="K294" s="4">
        <v>1509822</v>
      </c>
      <c r="L294" s="4">
        <v>1509822</v>
      </c>
      <c r="M294" s="2" t="s">
        <v>470</v>
      </c>
      <c r="N294" s="28"/>
    </row>
    <row r="295" spans="1:14" ht="60" hidden="1" customHeight="1" x14ac:dyDescent="0.25">
      <c r="A295" s="32"/>
      <c r="B295" s="39" t="s">
        <v>403</v>
      </c>
      <c r="C295" s="4"/>
      <c r="D295" s="4"/>
      <c r="E295" s="4"/>
      <c r="F295" s="4"/>
      <c r="G295" s="4"/>
      <c r="H295" s="4"/>
      <c r="I295" s="4"/>
      <c r="J295" s="4"/>
      <c r="K295" s="4"/>
      <c r="L295" s="4">
        <v>100000</v>
      </c>
      <c r="M295" s="2" t="s">
        <v>471</v>
      </c>
      <c r="N295" s="28"/>
    </row>
    <row r="296" spans="1:14" ht="45" hidden="1" customHeight="1" x14ac:dyDescent="0.25">
      <c r="A296" s="32"/>
      <c r="B296" s="39" t="s">
        <v>405</v>
      </c>
      <c r="C296" s="4"/>
      <c r="D296" s="4"/>
      <c r="E296" s="4"/>
      <c r="F296" s="4"/>
      <c r="G296" s="4"/>
      <c r="H296" s="4"/>
      <c r="I296" s="4"/>
      <c r="J296" s="4"/>
      <c r="K296" s="4">
        <v>100000</v>
      </c>
      <c r="L296" s="4"/>
      <c r="M296" s="2" t="s">
        <v>471</v>
      </c>
      <c r="N296" s="28"/>
    </row>
    <row r="297" spans="1:14" ht="42.75" hidden="1" customHeight="1" x14ac:dyDescent="0.25">
      <c r="A297" s="32" t="s">
        <v>179</v>
      </c>
      <c r="B297" s="88" t="s">
        <v>147</v>
      </c>
      <c r="C297" s="107">
        <f>C298</f>
        <v>0</v>
      </c>
      <c r="D297" s="107"/>
      <c r="E297" s="107"/>
      <c r="F297" s="107"/>
      <c r="G297" s="107">
        <f t="shared" ref="G297:L298" si="94">G298</f>
        <v>0</v>
      </c>
      <c r="H297" s="107">
        <f t="shared" si="94"/>
        <v>0</v>
      </c>
      <c r="I297" s="107"/>
      <c r="J297" s="107"/>
      <c r="K297" s="107">
        <f t="shared" si="94"/>
        <v>0</v>
      </c>
      <c r="L297" s="107">
        <f t="shared" si="94"/>
        <v>0</v>
      </c>
      <c r="M297" s="2"/>
      <c r="N297" s="28"/>
    </row>
    <row r="298" spans="1:14" ht="30" hidden="1" customHeight="1" x14ac:dyDescent="0.25">
      <c r="A298" s="110"/>
      <c r="B298" s="37" t="s">
        <v>65</v>
      </c>
      <c r="C298" s="4">
        <f>C299</f>
        <v>0</v>
      </c>
      <c r="D298" s="4"/>
      <c r="E298" s="4"/>
      <c r="F298" s="4"/>
      <c r="G298" s="4">
        <f t="shared" si="94"/>
        <v>0</v>
      </c>
      <c r="H298" s="4">
        <f t="shared" si="94"/>
        <v>0</v>
      </c>
      <c r="I298" s="4"/>
      <c r="J298" s="4"/>
      <c r="K298" s="4">
        <f t="shared" si="94"/>
        <v>0</v>
      </c>
      <c r="L298" s="4">
        <f t="shared" si="94"/>
        <v>0</v>
      </c>
      <c r="M298" s="2"/>
      <c r="N298" s="28"/>
    </row>
    <row r="299" spans="1:14" ht="15.75" hidden="1" customHeight="1" x14ac:dyDescent="0.25">
      <c r="A299" s="109"/>
      <c r="B299" s="4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2"/>
      <c r="N299" s="28"/>
    </row>
    <row r="300" spans="1:14" ht="71.25" hidden="1" customHeight="1" x14ac:dyDescent="0.25">
      <c r="A300" s="111" t="s">
        <v>346</v>
      </c>
      <c r="B300" s="36" t="s">
        <v>347</v>
      </c>
      <c r="C300" s="112">
        <f t="shared" ref="C300" si="95">C301</f>
        <v>0</v>
      </c>
      <c r="D300" s="112"/>
      <c r="E300" s="112"/>
      <c r="F300" s="112"/>
      <c r="G300" s="112">
        <f t="shared" ref="G300:L304" si="96">G301</f>
        <v>0</v>
      </c>
      <c r="H300" s="112">
        <f t="shared" si="96"/>
        <v>0</v>
      </c>
      <c r="I300" s="112"/>
      <c r="J300" s="112"/>
      <c r="K300" s="112">
        <f t="shared" si="96"/>
        <v>0</v>
      </c>
      <c r="L300" s="112">
        <f t="shared" si="96"/>
        <v>0</v>
      </c>
      <c r="M300" s="2"/>
      <c r="N300" s="28"/>
    </row>
    <row r="301" spans="1:14" ht="45" hidden="1" customHeight="1" x14ac:dyDescent="0.25">
      <c r="A301" s="110"/>
      <c r="B301" s="37" t="s">
        <v>123</v>
      </c>
      <c r="C301" s="4">
        <f>C302</f>
        <v>0</v>
      </c>
      <c r="D301" s="4"/>
      <c r="E301" s="4"/>
      <c r="F301" s="4"/>
      <c r="G301" s="4">
        <f t="shared" si="96"/>
        <v>0</v>
      </c>
      <c r="H301" s="4">
        <f t="shared" si="96"/>
        <v>0</v>
      </c>
      <c r="I301" s="4"/>
      <c r="J301" s="4"/>
      <c r="K301" s="4">
        <f t="shared" si="96"/>
        <v>0</v>
      </c>
      <c r="L301" s="4">
        <f t="shared" si="96"/>
        <v>0</v>
      </c>
      <c r="M301" s="2" t="s">
        <v>348</v>
      </c>
      <c r="N301" s="28"/>
    </row>
    <row r="302" spans="1:14" ht="15.75" hidden="1" customHeight="1" x14ac:dyDescent="0.25">
      <c r="A302" s="110"/>
      <c r="B302" s="37"/>
      <c r="C302" s="4"/>
      <c r="D302" s="4"/>
      <c r="E302" s="4"/>
      <c r="F302" s="4"/>
      <c r="G302" s="4">
        <v>0</v>
      </c>
      <c r="H302" s="4"/>
      <c r="I302" s="4"/>
      <c r="J302" s="4"/>
      <c r="K302" s="4"/>
      <c r="L302" s="4"/>
      <c r="M302" s="2"/>
      <c r="N302" s="28"/>
    </row>
    <row r="303" spans="1:14" ht="185.25" hidden="1" customHeight="1" x14ac:dyDescent="0.25">
      <c r="A303" s="111" t="s">
        <v>349</v>
      </c>
      <c r="B303" s="36" t="s">
        <v>350</v>
      </c>
      <c r="C303" s="112">
        <f t="shared" ref="C303:H304" si="97">C304</f>
        <v>0</v>
      </c>
      <c r="D303" s="112"/>
      <c r="E303" s="112"/>
      <c r="F303" s="112"/>
      <c r="G303" s="112">
        <f t="shared" si="97"/>
        <v>0</v>
      </c>
      <c r="H303" s="112">
        <f t="shared" si="97"/>
        <v>0</v>
      </c>
      <c r="I303" s="112"/>
      <c r="J303" s="112"/>
      <c r="K303" s="112">
        <f t="shared" si="96"/>
        <v>13163911</v>
      </c>
      <c r="L303" s="112">
        <f t="shared" si="96"/>
        <v>13163911</v>
      </c>
      <c r="M303" s="2"/>
      <c r="N303" s="28"/>
    </row>
    <row r="304" spans="1:14" ht="15.75" hidden="1" customHeight="1" x14ac:dyDescent="0.25">
      <c r="A304" s="110"/>
      <c r="B304" s="37" t="s">
        <v>34</v>
      </c>
      <c r="C304" s="4">
        <f t="shared" si="97"/>
        <v>0</v>
      </c>
      <c r="D304" s="4"/>
      <c r="E304" s="4"/>
      <c r="F304" s="4"/>
      <c r="G304" s="4">
        <f t="shared" si="97"/>
        <v>0</v>
      </c>
      <c r="H304" s="4">
        <f t="shared" si="97"/>
        <v>0</v>
      </c>
      <c r="I304" s="4"/>
      <c r="J304" s="4"/>
      <c r="K304" s="4">
        <f t="shared" si="96"/>
        <v>13163911</v>
      </c>
      <c r="L304" s="4">
        <f t="shared" si="96"/>
        <v>13163911</v>
      </c>
      <c r="M304" s="2"/>
      <c r="N304" s="28"/>
    </row>
    <row r="305" spans="1:14" ht="31.5" hidden="1" customHeight="1" x14ac:dyDescent="0.25">
      <c r="A305" s="110"/>
      <c r="B305" s="37"/>
      <c r="C305" s="4"/>
      <c r="D305" s="4"/>
      <c r="E305" s="4"/>
      <c r="F305" s="4"/>
      <c r="G305" s="4"/>
      <c r="H305" s="4"/>
      <c r="I305" s="4"/>
      <c r="J305" s="4"/>
      <c r="K305" s="4">
        <v>13163911</v>
      </c>
      <c r="L305" s="4">
        <v>13163911</v>
      </c>
      <c r="M305" s="2" t="s">
        <v>351</v>
      </c>
      <c r="N305" s="28"/>
    </row>
    <row r="306" spans="1:14" ht="15.75" hidden="1" customHeight="1" x14ac:dyDescent="0.25">
      <c r="A306" s="109"/>
      <c r="B306" s="4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2"/>
      <c r="N306" s="28"/>
    </row>
    <row r="307" spans="1:14" ht="57" x14ac:dyDescent="0.25">
      <c r="A307" s="34" t="s">
        <v>180</v>
      </c>
      <c r="B307" s="79" t="s">
        <v>70</v>
      </c>
      <c r="C307" s="10">
        <f>C313+C308</f>
        <v>0</v>
      </c>
      <c r="D307" s="10"/>
      <c r="E307" s="10"/>
      <c r="F307" s="10"/>
      <c r="G307" s="10">
        <f t="shared" ref="G307:H307" si="98">G313+G308</f>
        <v>1415310</v>
      </c>
      <c r="H307" s="10">
        <f t="shared" si="98"/>
        <v>34000000</v>
      </c>
      <c r="I307" s="10"/>
      <c r="J307" s="10"/>
      <c r="K307" s="10">
        <f t="shared" ref="K307:L307" si="99">K313+K308</f>
        <v>0</v>
      </c>
      <c r="L307" s="10">
        <f t="shared" si="99"/>
        <v>0</v>
      </c>
      <c r="M307" s="2"/>
      <c r="N307" s="28"/>
    </row>
    <row r="308" spans="1:14" ht="85.5" hidden="1" customHeight="1" x14ac:dyDescent="0.25">
      <c r="A308" s="34" t="s">
        <v>130</v>
      </c>
      <c r="B308" s="79" t="s">
        <v>97</v>
      </c>
      <c r="C308" s="10">
        <f t="shared" ref="C308:L308" si="100">C309</f>
        <v>0</v>
      </c>
      <c r="D308" s="10"/>
      <c r="E308" s="10"/>
      <c r="F308" s="10"/>
      <c r="G308" s="10">
        <f t="shared" si="100"/>
        <v>0</v>
      </c>
      <c r="H308" s="10">
        <f t="shared" si="100"/>
        <v>0</v>
      </c>
      <c r="I308" s="10"/>
      <c r="J308" s="10"/>
      <c r="K308" s="10">
        <f t="shared" si="100"/>
        <v>0</v>
      </c>
      <c r="L308" s="10">
        <f t="shared" si="100"/>
        <v>0</v>
      </c>
      <c r="M308" s="2"/>
      <c r="N308" s="28"/>
    </row>
    <row r="309" spans="1:14" ht="45" hidden="1" customHeight="1" x14ac:dyDescent="0.25">
      <c r="A309" s="34"/>
      <c r="B309" s="30" t="s">
        <v>121</v>
      </c>
      <c r="C309" s="7">
        <f>C310+C312+C311</f>
        <v>0</v>
      </c>
      <c r="D309" s="7"/>
      <c r="E309" s="7"/>
      <c r="F309" s="7"/>
      <c r="G309" s="7">
        <f>G310+G312+G311</f>
        <v>0</v>
      </c>
      <c r="H309" s="7">
        <f t="shared" ref="H309" si="101">H310+H312+H311</f>
        <v>0</v>
      </c>
      <c r="I309" s="7"/>
      <c r="J309" s="7"/>
      <c r="K309" s="7">
        <f t="shared" ref="K309:L309" si="102">K310+K312+K311</f>
        <v>0</v>
      </c>
      <c r="L309" s="7">
        <f t="shared" si="102"/>
        <v>0</v>
      </c>
      <c r="M309" s="2"/>
      <c r="N309" s="28"/>
    </row>
    <row r="310" spans="1:14" ht="30" hidden="1" customHeight="1" x14ac:dyDescent="0.25">
      <c r="A310" s="34"/>
      <c r="B310" s="113" t="s">
        <v>231</v>
      </c>
      <c r="C310" s="9"/>
      <c r="D310" s="9"/>
      <c r="E310" s="9"/>
      <c r="F310" s="9"/>
      <c r="G310" s="9"/>
      <c r="H310" s="9">
        <v>0</v>
      </c>
      <c r="I310" s="9"/>
      <c r="J310" s="9"/>
      <c r="K310" s="9"/>
      <c r="L310" s="9"/>
      <c r="M310" s="2"/>
      <c r="N310" s="28"/>
    </row>
    <row r="311" spans="1:14" ht="15.75" hidden="1" customHeight="1" x14ac:dyDescent="0.25">
      <c r="A311" s="34"/>
      <c r="B311" s="113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2"/>
      <c r="N311" s="28"/>
    </row>
    <row r="312" spans="1:14" ht="15.75" hidden="1" customHeight="1" x14ac:dyDescent="0.25">
      <c r="A312" s="34"/>
      <c r="B312" s="3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2"/>
      <c r="N312" s="28"/>
    </row>
    <row r="313" spans="1:14" ht="74.25" customHeight="1" x14ac:dyDescent="0.25">
      <c r="A313" s="34" t="s">
        <v>181</v>
      </c>
      <c r="B313" s="79" t="s">
        <v>71</v>
      </c>
      <c r="C313" s="10">
        <f>C314</f>
        <v>0</v>
      </c>
      <c r="D313" s="10"/>
      <c r="E313" s="10"/>
      <c r="F313" s="10"/>
      <c r="G313" s="10">
        <f t="shared" ref="G313:L313" si="103">G314</f>
        <v>1415310</v>
      </c>
      <c r="H313" s="10">
        <f t="shared" si="103"/>
        <v>34000000</v>
      </c>
      <c r="I313" s="10"/>
      <c r="J313" s="10"/>
      <c r="K313" s="10">
        <f t="shared" si="103"/>
        <v>0</v>
      </c>
      <c r="L313" s="10">
        <f t="shared" si="103"/>
        <v>0</v>
      </c>
      <c r="M313" s="2"/>
      <c r="N313" s="28"/>
    </row>
    <row r="314" spans="1:14" ht="45" x14ac:dyDescent="0.25">
      <c r="A314" s="34"/>
      <c r="B314" s="30" t="s">
        <v>121</v>
      </c>
      <c r="C314" s="7">
        <f>C315+C316</f>
        <v>0</v>
      </c>
      <c r="D314" s="7"/>
      <c r="E314" s="7"/>
      <c r="F314" s="7"/>
      <c r="G314" s="7">
        <f>G315+G316</f>
        <v>1415310</v>
      </c>
      <c r="H314" s="7">
        <f>H315+H316</f>
        <v>34000000</v>
      </c>
      <c r="I314" s="7"/>
      <c r="J314" s="7"/>
      <c r="K314" s="7">
        <f t="shared" ref="K314:L314" si="104">K315+K316</f>
        <v>0</v>
      </c>
      <c r="L314" s="7">
        <f t="shared" si="104"/>
        <v>0</v>
      </c>
      <c r="M314" s="2"/>
      <c r="N314" s="28"/>
    </row>
    <row r="315" spans="1:14" ht="81.75" customHeight="1" x14ac:dyDescent="0.25">
      <c r="A315" s="34"/>
      <c r="B315" s="113" t="s">
        <v>258</v>
      </c>
      <c r="C315" s="9"/>
      <c r="D315" s="9"/>
      <c r="E315" s="9"/>
      <c r="F315" s="9"/>
      <c r="G315" s="9">
        <v>1415310</v>
      </c>
      <c r="H315" s="22"/>
      <c r="I315" s="9"/>
      <c r="J315" s="9"/>
      <c r="K315" s="9"/>
      <c r="L315" s="9"/>
      <c r="M315" s="2" t="s">
        <v>641</v>
      </c>
      <c r="N315" s="28"/>
    </row>
    <row r="316" spans="1:14" ht="47.25" x14ac:dyDescent="0.25">
      <c r="A316" s="32"/>
      <c r="B316" s="39" t="s">
        <v>417</v>
      </c>
      <c r="C316" s="9"/>
      <c r="D316" s="9"/>
      <c r="E316" s="9"/>
      <c r="F316" s="9"/>
      <c r="G316" s="9"/>
      <c r="H316" s="9">
        <v>34000000</v>
      </c>
      <c r="I316" s="9"/>
      <c r="J316" s="9"/>
      <c r="K316" s="9"/>
      <c r="L316" s="9"/>
      <c r="M316" s="2" t="s">
        <v>642</v>
      </c>
      <c r="N316" s="28"/>
    </row>
    <row r="317" spans="1:14" ht="71.25" x14ac:dyDescent="0.25">
      <c r="A317" s="32" t="s">
        <v>182</v>
      </c>
      <c r="B317" s="33" t="s">
        <v>60</v>
      </c>
      <c r="C317" s="10">
        <f t="shared" ref="C317:L317" si="105">C318+C331</f>
        <v>0</v>
      </c>
      <c r="D317" s="10"/>
      <c r="E317" s="10"/>
      <c r="F317" s="10"/>
      <c r="G317" s="10">
        <f t="shared" si="105"/>
        <v>2768980</v>
      </c>
      <c r="H317" s="10">
        <f t="shared" si="105"/>
        <v>35000</v>
      </c>
      <c r="I317" s="10"/>
      <c r="J317" s="10"/>
      <c r="K317" s="10">
        <f t="shared" si="105"/>
        <v>47115657</v>
      </c>
      <c r="L317" s="10">
        <f t="shared" si="105"/>
        <v>47691860</v>
      </c>
      <c r="M317" s="2"/>
      <c r="N317" s="28"/>
    </row>
    <row r="318" spans="1:14" ht="57" x14ac:dyDescent="0.25">
      <c r="A318" s="32" t="s">
        <v>183</v>
      </c>
      <c r="B318" s="66" t="s">
        <v>61</v>
      </c>
      <c r="C318" s="67">
        <f t="shared" ref="C318:L318" si="106">C319</f>
        <v>0</v>
      </c>
      <c r="D318" s="67"/>
      <c r="E318" s="67"/>
      <c r="F318" s="67"/>
      <c r="G318" s="67">
        <f t="shared" si="106"/>
        <v>1121000</v>
      </c>
      <c r="H318" s="67">
        <f t="shared" si="106"/>
        <v>35000</v>
      </c>
      <c r="I318" s="67"/>
      <c r="J318" s="67"/>
      <c r="K318" s="67">
        <f t="shared" si="106"/>
        <v>47115657</v>
      </c>
      <c r="L318" s="67">
        <f t="shared" si="106"/>
        <v>47691860</v>
      </c>
      <c r="M318" s="2"/>
      <c r="N318" s="28"/>
    </row>
    <row r="319" spans="1:14" ht="46.5" customHeight="1" x14ac:dyDescent="0.25">
      <c r="A319" s="114"/>
      <c r="B319" s="30" t="s">
        <v>157</v>
      </c>
      <c r="C319" s="20">
        <f>SUM(C320:C330)</f>
        <v>0</v>
      </c>
      <c r="D319" s="20"/>
      <c r="E319" s="20"/>
      <c r="F319" s="20"/>
      <c r="G319" s="20">
        <f t="shared" ref="G319:L319" si="107">SUM(G320:G330)</f>
        <v>1121000</v>
      </c>
      <c r="H319" s="20">
        <f t="shared" si="107"/>
        <v>35000</v>
      </c>
      <c r="I319" s="20"/>
      <c r="J319" s="20"/>
      <c r="K319" s="20">
        <f t="shared" si="107"/>
        <v>47115657</v>
      </c>
      <c r="L319" s="20">
        <f t="shared" si="107"/>
        <v>47691860</v>
      </c>
      <c r="M319" s="2"/>
      <c r="N319" s="28"/>
    </row>
    <row r="320" spans="1:14" ht="15.75" hidden="1" customHeight="1" x14ac:dyDescent="0.25">
      <c r="A320" s="32"/>
      <c r="B320" s="45"/>
      <c r="C320" s="1"/>
      <c r="D320" s="1"/>
      <c r="E320" s="9"/>
      <c r="F320" s="9"/>
      <c r="G320" s="9"/>
      <c r="H320" s="9"/>
      <c r="I320" s="9"/>
      <c r="J320" s="9"/>
      <c r="K320" s="9"/>
      <c r="L320" s="9"/>
      <c r="M320" s="2"/>
      <c r="N320" s="28"/>
    </row>
    <row r="321" spans="1:14" ht="15.75" hidden="1" customHeight="1" x14ac:dyDescent="0.25">
      <c r="A321" s="32"/>
      <c r="B321" s="45"/>
      <c r="C321" s="74"/>
      <c r="D321" s="74"/>
      <c r="E321" s="9"/>
      <c r="F321" s="9"/>
      <c r="G321" s="9"/>
      <c r="H321" s="9"/>
      <c r="I321" s="9"/>
      <c r="J321" s="9"/>
      <c r="K321" s="9"/>
      <c r="L321" s="9"/>
      <c r="M321" s="2"/>
      <c r="N321" s="28"/>
    </row>
    <row r="322" spans="1:14" ht="15.75" x14ac:dyDescent="0.25">
      <c r="A322" s="32"/>
      <c r="B322" s="45"/>
      <c r="C322" s="1"/>
      <c r="D322" s="5"/>
      <c r="E322" s="9"/>
      <c r="F322" s="9"/>
      <c r="G322" s="9">
        <v>387000</v>
      </c>
      <c r="H322" s="9"/>
      <c r="I322" s="9"/>
      <c r="J322" s="9"/>
      <c r="K322" s="9"/>
      <c r="L322" s="9"/>
      <c r="M322" s="2" t="s">
        <v>561</v>
      </c>
      <c r="N322" s="28"/>
    </row>
    <row r="323" spans="1:14" ht="15.75" x14ac:dyDescent="0.25">
      <c r="A323" s="32"/>
      <c r="B323" s="45"/>
      <c r="C323" s="74"/>
      <c r="D323" s="74"/>
      <c r="E323" s="9"/>
      <c r="F323" s="9"/>
      <c r="G323" s="9">
        <v>734000</v>
      </c>
      <c r="H323" s="9"/>
      <c r="I323" s="9"/>
      <c r="J323" s="9"/>
      <c r="K323" s="9"/>
      <c r="L323" s="9"/>
      <c r="M323" s="2" t="s">
        <v>517</v>
      </c>
      <c r="N323" s="28"/>
    </row>
    <row r="324" spans="1:14" ht="31.5" x14ac:dyDescent="0.25">
      <c r="A324" s="32"/>
      <c r="B324" s="45"/>
      <c r="C324" s="74"/>
      <c r="D324" s="74"/>
      <c r="E324" s="9"/>
      <c r="F324" s="9"/>
      <c r="G324" s="9"/>
      <c r="H324" s="9">
        <v>35000</v>
      </c>
      <c r="I324" s="9"/>
      <c r="J324" s="9"/>
      <c r="K324" s="9"/>
      <c r="L324" s="9"/>
      <c r="M324" s="2" t="s">
        <v>625</v>
      </c>
      <c r="N324" s="28"/>
    </row>
    <row r="325" spans="1:14" ht="47.25" hidden="1" customHeight="1" x14ac:dyDescent="0.25">
      <c r="A325" s="32"/>
      <c r="B325" s="45"/>
      <c r="C325" s="74"/>
      <c r="D325" s="74"/>
      <c r="E325" s="9"/>
      <c r="F325" s="9"/>
      <c r="G325" s="9"/>
      <c r="H325" s="9"/>
      <c r="I325" s="9"/>
      <c r="J325" s="9"/>
      <c r="K325" s="9">
        <v>22000000</v>
      </c>
      <c r="L325" s="9">
        <v>22000000</v>
      </c>
      <c r="M325" s="2" t="s">
        <v>472</v>
      </c>
      <c r="N325" s="28"/>
    </row>
    <row r="326" spans="1:14" ht="47.25" hidden="1" customHeight="1" x14ac:dyDescent="0.25">
      <c r="A326" s="32"/>
      <c r="B326" s="45"/>
      <c r="C326" s="74"/>
      <c r="D326" s="74"/>
      <c r="E326" s="9"/>
      <c r="F326" s="9"/>
      <c r="G326" s="9"/>
      <c r="H326" s="9"/>
      <c r="I326" s="9"/>
      <c r="J326" s="9"/>
      <c r="K326" s="9">
        <v>3600000</v>
      </c>
      <c r="L326" s="9">
        <v>3600000</v>
      </c>
      <c r="M326" s="2" t="s">
        <v>473</v>
      </c>
      <c r="N326" s="28"/>
    </row>
    <row r="327" spans="1:14" ht="63" hidden="1" customHeight="1" x14ac:dyDescent="0.25">
      <c r="A327" s="32"/>
      <c r="B327" s="45"/>
      <c r="C327" s="74"/>
      <c r="D327" s="74"/>
      <c r="E327" s="9"/>
      <c r="F327" s="9"/>
      <c r="G327" s="9"/>
      <c r="H327" s="9"/>
      <c r="I327" s="9"/>
      <c r="J327" s="9"/>
      <c r="K327" s="9"/>
      <c r="L327" s="9">
        <v>576203</v>
      </c>
      <c r="M327" s="2" t="s">
        <v>324</v>
      </c>
      <c r="N327" s="28"/>
    </row>
    <row r="328" spans="1:14" ht="31.5" hidden="1" customHeight="1" x14ac:dyDescent="0.25">
      <c r="A328" s="32"/>
      <c r="B328" s="45"/>
      <c r="C328" s="74"/>
      <c r="D328" s="74"/>
      <c r="E328" s="9"/>
      <c r="F328" s="9"/>
      <c r="G328" s="9"/>
      <c r="H328" s="9"/>
      <c r="I328" s="9"/>
      <c r="J328" s="9"/>
      <c r="K328" s="9">
        <v>870000</v>
      </c>
      <c r="L328" s="9">
        <v>870000</v>
      </c>
      <c r="M328" s="2" t="s">
        <v>474</v>
      </c>
      <c r="N328" s="28"/>
    </row>
    <row r="329" spans="1:14" ht="47.25" hidden="1" customHeight="1" x14ac:dyDescent="0.25">
      <c r="A329" s="32"/>
      <c r="B329" s="45"/>
      <c r="C329" s="74"/>
      <c r="D329" s="74"/>
      <c r="E329" s="9"/>
      <c r="F329" s="9"/>
      <c r="G329" s="9"/>
      <c r="H329" s="9"/>
      <c r="I329" s="9"/>
      <c r="J329" s="9"/>
      <c r="K329" s="9">
        <v>6760573</v>
      </c>
      <c r="L329" s="9">
        <v>6760573</v>
      </c>
      <c r="M329" s="2" t="s">
        <v>572</v>
      </c>
      <c r="N329" s="28"/>
    </row>
    <row r="330" spans="1:14" ht="31.5" hidden="1" customHeight="1" x14ac:dyDescent="0.25">
      <c r="A330" s="32"/>
      <c r="B330" s="45"/>
      <c r="C330" s="74"/>
      <c r="D330" s="74"/>
      <c r="E330" s="9"/>
      <c r="F330" s="9"/>
      <c r="G330" s="9"/>
      <c r="H330" s="9"/>
      <c r="I330" s="9"/>
      <c r="J330" s="9"/>
      <c r="K330" s="9">
        <v>13885084</v>
      </c>
      <c r="L330" s="9">
        <v>13885084</v>
      </c>
      <c r="M330" s="2" t="s">
        <v>475</v>
      </c>
      <c r="N330" s="28"/>
    </row>
    <row r="331" spans="1:14" ht="85.5" x14ac:dyDescent="0.25">
      <c r="A331" s="32" t="s">
        <v>184</v>
      </c>
      <c r="B331" s="66" t="s">
        <v>62</v>
      </c>
      <c r="C331" s="10">
        <f>+C334+C332</f>
        <v>0</v>
      </c>
      <c r="D331" s="10"/>
      <c r="E331" s="10"/>
      <c r="F331" s="10"/>
      <c r="G331" s="10">
        <f t="shared" ref="G331:H331" si="108">+G334+G332</f>
        <v>1647980</v>
      </c>
      <c r="H331" s="10">
        <f t="shared" si="108"/>
        <v>0</v>
      </c>
      <c r="I331" s="10"/>
      <c r="J331" s="10"/>
      <c r="K331" s="10">
        <f t="shared" ref="K331:L331" si="109">+K334+K332</f>
        <v>0</v>
      </c>
      <c r="L331" s="10">
        <f t="shared" si="109"/>
        <v>0</v>
      </c>
      <c r="M331" s="2"/>
      <c r="N331" s="28"/>
    </row>
    <row r="332" spans="1:14" ht="49.5" customHeight="1" x14ac:dyDescent="0.25">
      <c r="A332" s="34"/>
      <c r="B332" s="30" t="s">
        <v>157</v>
      </c>
      <c r="C332" s="9">
        <f t="shared" ref="C332:L332" si="110">C333</f>
        <v>0</v>
      </c>
      <c r="D332" s="9"/>
      <c r="E332" s="9"/>
      <c r="F332" s="9"/>
      <c r="G332" s="9">
        <f t="shared" si="110"/>
        <v>1647980</v>
      </c>
      <c r="H332" s="9">
        <f t="shared" si="110"/>
        <v>0</v>
      </c>
      <c r="I332" s="9"/>
      <c r="J332" s="9"/>
      <c r="K332" s="9">
        <f t="shared" si="110"/>
        <v>0</v>
      </c>
      <c r="L332" s="9">
        <f t="shared" si="110"/>
        <v>0</v>
      </c>
      <c r="M332" s="2"/>
      <c r="N332" s="28"/>
    </row>
    <row r="333" spans="1:14" ht="47.25" x14ac:dyDescent="0.25">
      <c r="A333" s="34"/>
      <c r="B333" s="45"/>
      <c r="C333" s="9"/>
      <c r="D333" s="9"/>
      <c r="E333" s="9"/>
      <c r="F333" s="9"/>
      <c r="G333" s="9">
        <v>1647980</v>
      </c>
      <c r="H333" s="9"/>
      <c r="I333" s="9"/>
      <c r="J333" s="9"/>
      <c r="K333" s="9"/>
      <c r="L333" s="9"/>
      <c r="M333" s="2" t="s">
        <v>476</v>
      </c>
      <c r="N333" s="28"/>
    </row>
    <row r="334" spans="1:14" ht="30" hidden="1" customHeight="1" x14ac:dyDescent="0.25">
      <c r="A334" s="34"/>
      <c r="B334" s="30" t="s">
        <v>65</v>
      </c>
      <c r="C334" s="7">
        <f t="shared" ref="C334" si="111">C335</f>
        <v>0</v>
      </c>
      <c r="D334" s="7"/>
      <c r="E334" s="7"/>
      <c r="F334" s="7"/>
      <c r="G334" s="7"/>
      <c r="H334" s="7"/>
      <c r="I334" s="7"/>
      <c r="J334" s="7"/>
      <c r="K334" s="7"/>
      <c r="L334" s="7"/>
      <c r="M334" s="2"/>
      <c r="N334" s="28"/>
    </row>
    <row r="335" spans="1:14" ht="15.75" hidden="1" customHeight="1" x14ac:dyDescent="0.25">
      <c r="A335" s="34"/>
      <c r="B335" s="3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2"/>
      <c r="N335" s="28"/>
    </row>
    <row r="336" spans="1:14" ht="71.25" x14ac:dyDescent="0.25">
      <c r="A336" s="32" t="s">
        <v>185</v>
      </c>
      <c r="B336" s="33" t="s">
        <v>14</v>
      </c>
      <c r="C336" s="112">
        <f t="shared" ref="C336:L336" si="112">C337+C342+C347+C358</f>
        <v>0</v>
      </c>
      <c r="D336" s="112"/>
      <c r="E336" s="112"/>
      <c r="F336" s="112"/>
      <c r="G336" s="112">
        <f t="shared" si="112"/>
        <v>172143927</v>
      </c>
      <c r="H336" s="112">
        <f t="shared" si="112"/>
        <v>10246584</v>
      </c>
      <c r="I336" s="112"/>
      <c r="J336" s="112"/>
      <c r="K336" s="112">
        <f t="shared" si="112"/>
        <v>108947800</v>
      </c>
      <c r="L336" s="112">
        <f t="shared" si="112"/>
        <v>108947800</v>
      </c>
      <c r="M336" s="2"/>
      <c r="N336" s="28"/>
    </row>
    <row r="337" spans="1:14" ht="62.25" customHeight="1" x14ac:dyDescent="0.25">
      <c r="A337" s="32" t="s">
        <v>186</v>
      </c>
      <c r="B337" s="33" t="s">
        <v>426</v>
      </c>
      <c r="C337" s="115">
        <f>C338</f>
        <v>0</v>
      </c>
      <c r="D337" s="115"/>
      <c r="E337" s="115"/>
      <c r="F337" s="115"/>
      <c r="G337" s="115">
        <f t="shared" ref="G337:L337" si="113">G338</f>
        <v>2143927</v>
      </c>
      <c r="H337" s="115">
        <f t="shared" si="113"/>
        <v>0</v>
      </c>
      <c r="I337" s="115"/>
      <c r="J337" s="115"/>
      <c r="K337" s="115">
        <f t="shared" si="113"/>
        <v>0</v>
      </c>
      <c r="L337" s="115">
        <f t="shared" si="113"/>
        <v>0</v>
      </c>
      <c r="M337" s="2"/>
      <c r="N337" s="28"/>
    </row>
    <row r="338" spans="1:14" ht="60" x14ac:dyDescent="0.25">
      <c r="A338" s="32"/>
      <c r="B338" s="30" t="s">
        <v>156</v>
      </c>
      <c r="C338" s="7">
        <f t="shared" ref="C338" si="114">C339+C340+C341</f>
        <v>0</v>
      </c>
      <c r="D338" s="7"/>
      <c r="E338" s="7"/>
      <c r="F338" s="7"/>
      <c r="G338" s="7">
        <f t="shared" ref="G338:H338" si="115">G339+G340+G341</f>
        <v>2143927</v>
      </c>
      <c r="H338" s="7">
        <f t="shared" si="115"/>
        <v>0</v>
      </c>
      <c r="I338" s="7"/>
      <c r="J338" s="7"/>
      <c r="K338" s="7">
        <f>K339+K340+K341</f>
        <v>0</v>
      </c>
      <c r="L338" s="7">
        <f>L339+L340+L341</f>
        <v>0</v>
      </c>
      <c r="M338" s="2"/>
      <c r="N338" s="28"/>
    </row>
    <row r="339" spans="1:14" ht="75" x14ac:dyDescent="0.25">
      <c r="A339" s="32"/>
      <c r="B339" s="39" t="s">
        <v>259</v>
      </c>
      <c r="C339" s="9"/>
      <c r="D339" s="9"/>
      <c r="E339" s="9"/>
      <c r="F339" s="9"/>
      <c r="G339" s="9">
        <v>2143927</v>
      </c>
      <c r="H339" s="9"/>
      <c r="I339" s="9"/>
      <c r="J339" s="9"/>
      <c r="K339" s="9"/>
      <c r="L339" s="9"/>
      <c r="M339" s="2" t="s">
        <v>477</v>
      </c>
      <c r="N339" s="28"/>
    </row>
    <row r="340" spans="1:14" ht="13.5" hidden="1" customHeight="1" x14ac:dyDescent="0.25">
      <c r="A340" s="32"/>
      <c r="B340" s="116"/>
      <c r="C340" s="7"/>
      <c r="D340" s="7"/>
      <c r="E340" s="7"/>
      <c r="F340" s="7"/>
      <c r="G340" s="7"/>
      <c r="H340" s="7"/>
      <c r="I340" s="81"/>
      <c r="J340" s="81"/>
      <c r="K340" s="81"/>
      <c r="L340" s="81"/>
      <c r="M340" s="2"/>
      <c r="N340" s="28"/>
    </row>
    <row r="341" spans="1:14" ht="15.75" hidden="1" customHeight="1" x14ac:dyDescent="0.25">
      <c r="A341" s="32"/>
      <c r="B341" s="116"/>
      <c r="C341" s="7"/>
      <c r="D341" s="7"/>
      <c r="E341" s="7"/>
      <c r="F341" s="7"/>
      <c r="G341" s="7"/>
      <c r="H341" s="7"/>
      <c r="I341" s="81"/>
      <c r="J341" s="81"/>
      <c r="K341" s="81"/>
      <c r="L341" s="81"/>
      <c r="M341" s="2"/>
      <c r="N341" s="28"/>
    </row>
    <row r="342" spans="1:14" ht="71.25" x14ac:dyDescent="0.25">
      <c r="A342" s="32" t="s">
        <v>187</v>
      </c>
      <c r="B342" s="79" t="s">
        <v>72</v>
      </c>
      <c r="C342" s="117">
        <f t="shared" ref="C342:L342" si="116">C343</f>
        <v>0</v>
      </c>
      <c r="D342" s="117"/>
      <c r="E342" s="117"/>
      <c r="F342" s="117"/>
      <c r="G342" s="117">
        <f t="shared" si="116"/>
        <v>170000000</v>
      </c>
      <c r="H342" s="117">
        <f t="shared" si="116"/>
        <v>246584</v>
      </c>
      <c r="I342" s="117"/>
      <c r="J342" s="117"/>
      <c r="K342" s="117">
        <f t="shared" si="116"/>
        <v>0</v>
      </c>
      <c r="L342" s="117">
        <f t="shared" si="116"/>
        <v>0</v>
      </c>
      <c r="M342" s="2"/>
      <c r="N342" s="28"/>
    </row>
    <row r="343" spans="1:14" ht="60" x14ac:dyDescent="0.25">
      <c r="A343" s="32"/>
      <c r="B343" s="30" t="s">
        <v>156</v>
      </c>
      <c r="C343" s="7">
        <f t="shared" ref="C343:L343" si="117">SUM(C344:C346)</f>
        <v>0</v>
      </c>
      <c r="D343" s="7"/>
      <c r="E343" s="7"/>
      <c r="F343" s="7"/>
      <c r="G343" s="7">
        <f>SUM(G344:G357)</f>
        <v>170000000</v>
      </c>
      <c r="H343" s="7">
        <f>SUM(H344:H357)</f>
        <v>246584</v>
      </c>
      <c r="I343" s="7"/>
      <c r="J343" s="7"/>
      <c r="K343" s="7">
        <f t="shared" si="117"/>
        <v>0</v>
      </c>
      <c r="L343" s="7">
        <f t="shared" si="117"/>
        <v>0</v>
      </c>
      <c r="M343" s="2"/>
      <c r="N343" s="28"/>
    </row>
    <row r="344" spans="1:14" ht="45" x14ac:dyDescent="0.25">
      <c r="A344" s="32"/>
      <c r="B344" s="39" t="s">
        <v>267</v>
      </c>
      <c r="C344" s="9"/>
      <c r="D344" s="9"/>
      <c r="E344" s="19"/>
      <c r="F344" s="19"/>
      <c r="G344" s="19">
        <v>100000000</v>
      </c>
      <c r="H344" s="19"/>
      <c r="I344" s="19"/>
      <c r="J344" s="19"/>
      <c r="K344" s="19"/>
      <c r="L344" s="19"/>
      <c r="M344" s="2" t="s">
        <v>532</v>
      </c>
      <c r="N344" s="28"/>
    </row>
    <row r="345" spans="1:14" ht="81.75" customHeight="1" x14ac:dyDescent="0.25">
      <c r="A345" s="32"/>
      <c r="B345" s="38" t="s">
        <v>268</v>
      </c>
      <c r="C345" s="9"/>
      <c r="D345" s="9"/>
      <c r="E345" s="19"/>
      <c r="F345" s="19"/>
      <c r="G345" s="19"/>
      <c r="H345" s="19">
        <v>246584</v>
      </c>
      <c r="I345" s="19"/>
      <c r="J345" s="19"/>
      <c r="K345" s="19"/>
      <c r="L345" s="19"/>
      <c r="M345" s="2" t="s">
        <v>478</v>
      </c>
      <c r="N345" s="28"/>
    </row>
    <row r="346" spans="1:14" ht="180" hidden="1" customHeight="1" x14ac:dyDescent="0.25">
      <c r="A346" s="32"/>
      <c r="B346" s="38" t="s">
        <v>269</v>
      </c>
      <c r="C346" s="9"/>
      <c r="D346" s="9"/>
      <c r="E346" s="19"/>
      <c r="F346" s="19"/>
      <c r="G346" s="19"/>
      <c r="H346" s="19"/>
      <c r="I346" s="19"/>
      <c r="J346" s="19"/>
      <c r="K346" s="19"/>
      <c r="L346" s="19"/>
      <c r="M346" s="2"/>
      <c r="N346" s="28"/>
    </row>
    <row r="347" spans="1:14" ht="99.75" hidden="1" customHeight="1" x14ac:dyDescent="0.25">
      <c r="A347" s="32" t="s">
        <v>113</v>
      </c>
      <c r="B347" s="33" t="s">
        <v>131</v>
      </c>
      <c r="C347" s="117">
        <f t="shared" ref="C347:L347" si="118">C348+C351+C353</f>
        <v>0</v>
      </c>
      <c r="D347" s="117"/>
      <c r="E347" s="117"/>
      <c r="F347" s="117"/>
      <c r="G347" s="117">
        <f t="shared" si="118"/>
        <v>0</v>
      </c>
      <c r="H347" s="117">
        <f t="shared" si="118"/>
        <v>0</v>
      </c>
      <c r="I347" s="117"/>
      <c r="J347" s="117"/>
      <c r="K347" s="117">
        <f t="shared" si="118"/>
        <v>106600000</v>
      </c>
      <c r="L347" s="117">
        <f t="shared" si="118"/>
        <v>106600000</v>
      </c>
      <c r="M347" s="2"/>
      <c r="N347" s="28"/>
    </row>
    <row r="348" spans="1:14" ht="60" hidden="1" customHeight="1" x14ac:dyDescent="0.25">
      <c r="A348" s="32"/>
      <c r="B348" s="30" t="s">
        <v>156</v>
      </c>
      <c r="C348" s="7">
        <f>SUM(C349:C350)</f>
        <v>0</v>
      </c>
      <c r="D348" s="7"/>
      <c r="E348" s="7"/>
      <c r="F348" s="7"/>
      <c r="G348" s="7">
        <f t="shared" ref="G348:L348" si="119">SUM(G349:G350)</f>
        <v>0</v>
      </c>
      <c r="H348" s="7">
        <f t="shared" si="119"/>
        <v>0</v>
      </c>
      <c r="I348" s="7"/>
      <c r="J348" s="7"/>
      <c r="K348" s="7">
        <f t="shared" si="119"/>
        <v>0</v>
      </c>
      <c r="L348" s="7">
        <f t="shared" si="119"/>
        <v>55800000</v>
      </c>
      <c r="M348" s="2"/>
      <c r="N348" s="28"/>
    </row>
    <row r="349" spans="1:14" ht="63" hidden="1" customHeight="1" x14ac:dyDescent="0.25">
      <c r="A349" s="32"/>
      <c r="B349" s="45" t="s">
        <v>232</v>
      </c>
      <c r="C349" s="9"/>
      <c r="D349" s="9"/>
      <c r="E349" s="9"/>
      <c r="F349" s="9"/>
      <c r="G349" s="9"/>
      <c r="H349" s="9"/>
      <c r="I349" s="9"/>
      <c r="J349" s="9"/>
      <c r="K349" s="9"/>
      <c r="L349" s="9">
        <f>14732000+36068000</f>
        <v>50800000</v>
      </c>
      <c r="M349" s="2" t="s">
        <v>579</v>
      </c>
      <c r="N349" s="28"/>
    </row>
    <row r="350" spans="1:14" ht="105" hidden="1" customHeight="1" x14ac:dyDescent="0.25">
      <c r="A350" s="32"/>
      <c r="B350" s="45" t="s">
        <v>270</v>
      </c>
      <c r="C350" s="9"/>
      <c r="D350" s="9"/>
      <c r="E350" s="9"/>
      <c r="F350" s="9"/>
      <c r="G350" s="9"/>
      <c r="H350" s="9"/>
      <c r="I350" s="9"/>
      <c r="J350" s="9"/>
      <c r="K350" s="9"/>
      <c r="L350" s="9">
        <v>5000000</v>
      </c>
      <c r="M350" s="2" t="s">
        <v>479</v>
      </c>
      <c r="N350" s="28"/>
    </row>
    <row r="351" spans="1:14" ht="45" hidden="1" customHeight="1" x14ac:dyDescent="0.25">
      <c r="A351" s="32"/>
      <c r="B351" s="47" t="s">
        <v>42</v>
      </c>
      <c r="C351" s="8">
        <f>C352</f>
        <v>0</v>
      </c>
      <c r="D351" s="8"/>
      <c r="E351" s="8"/>
      <c r="F351" s="8"/>
      <c r="G351" s="8">
        <f t="shared" ref="G351:K351" si="120">G352</f>
        <v>0</v>
      </c>
      <c r="H351" s="8">
        <f t="shared" si="120"/>
        <v>0</v>
      </c>
      <c r="I351" s="8"/>
      <c r="J351" s="8"/>
      <c r="K351" s="8">
        <f t="shared" si="120"/>
        <v>50800000</v>
      </c>
      <c r="L351" s="8"/>
      <c r="M351" s="2"/>
      <c r="N351" s="28"/>
    </row>
    <row r="352" spans="1:14" ht="63" hidden="1" customHeight="1" x14ac:dyDescent="0.25">
      <c r="A352" s="32"/>
      <c r="B352" s="39" t="s">
        <v>408</v>
      </c>
      <c r="C352" s="4"/>
      <c r="D352" s="4"/>
      <c r="E352" s="9"/>
      <c r="F352" s="9"/>
      <c r="G352" s="9"/>
      <c r="H352" s="9"/>
      <c r="I352" s="9"/>
      <c r="J352" s="9"/>
      <c r="K352" s="9">
        <f>14732000+36068000</f>
        <v>50800000</v>
      </c>
      <c r="L352" s="9"/>
      <c r="M352" s="2" t="s">
        <v>580</v>
      </c>
      <c r="N352" s="28"/>
    </row>
    <row r="353" spans="1:14" ht="45" hidden="1" customHeight="1" x14ac:dyDescent="0.25">
      <c r="A353" s="32"/>
      <c r="B353" s="47" t="s">
        <v>121</v>
      </c>
      <c r="C353" s="7">
        <f>SUM(C354:C356)</f>
        <v>0</v>
      </c>
      <c r="D353" s="7"/>
      <c r="E353" s="7"/>
      <c r="F353" s="7"/>
      <c r="G353" s="7">
        <f t="shared" ref="G353:L353" si="121">SUM(G354:G356)</f>
        <v>0</v>
      </c>
      <c r="H353" s="7">
        <f t="shared" si="121"/>
        <v>0</v>
      </c>
      <c r="I353" s="7"/>
      <c r="J353" s="7"/>
      <c r="K353" s="7">
        <f t="shared" si="121"/>
        <v>55800000</v>
      </c>
      <c r="L353" s="7">
        <f t="shared" si="121"/>
        <v>50800000</v>
      </c>
      <c r="M353" s="2"/>
      <c r="N353" s="28"/>
    </row>
    <row r="354" spans="1:14" ht="63" hidden="1" customHeight="1" x14ac:dyDescent="0.25">
      <c r="A354" s="32"/>
      <c r="B354" s="38" t="s">
        <v>232</v>
      </c>
      <c r="C354" s="9"/>
      <c r="D354" s="9"/>
      <c r="E354" s="9"/>
      <c r="F354" s="9"/>
      <c r="G354" s="9"/>
      <c r="H354" s="9"/>
      <c r="I354" s="9"/>
      <c r="J354" s="9"/>
      <c r="K354" s="9">
        <f>14732000+36068000</f>
        <v>50800000</v>
      </c>
      <c r="L354" s="9"/>
      <c r="M354" s="2" t="s">
        <v>581</v>
      </c>
      <c r="N354" s="28"/>
    </row>
    <row r="355" spans="1:14" ht="105" hidden="1" customHeight="1" x14ac:dyDescent="0.25">
      <c r="A355" s="32"/>
      <c r="B355" s="41" t="s">
        <v>270</v>
      </c>
      <c r="C355" s="9"/>
      <c r="D355" s="7"/>
      <c r="E355" s="7"/>
      <c r="F355" s="7"/>
      <c r="G355" s="7"/>
      <c r="H355" s="7"/>
      <c r="I355" s="7"/>
      <c r="J355" s="9"/>
      <c r="K355" s="9">
        <v>5000000</v>
      </c>
      <c r="L355" s="9"/>
      <c r="M355" s="2" t="s">
        <v>480</v>
      </c>
      <c r="N355" s="28"/>
    </row>
    <row r="356" spans="1:14" ht="63" hidden="1" customHeight="1" x14ac:dyDescent="0.25">
      <c r="A356" s="32"/>
      <c r="B356" s="41" t="s">
        <v>233</v>
      </c>
      <c r="C356" s="9"/>
      <c r="D356" s="7"/>
      <c r="E356" s="7"/>
      <c r="F356" s="7"/>
      <c r="G356" s="7"/>
      <c r="H356" s="7"/>
      <c r="I356" s="7"/>
      <c r="J356" s="9"/>
      <c r="K356" s="9"/>
      <c r="L356" s="9">
        <f>14732000+36068000</f>
        <v>50800000</v>
      </c>
      <c r="M356" s="2" t="s">
        <v>573</v>
      </c>
      <c r="N356" s="28"/>
    </row>
    <row r="357" spans="1:14" ht="165" x14ac:dyDescent="0.25">
      <c r="A357" s="32"/>
      <c r="B357" s="38" t="s">
        <v>553</v>
      </c>
      <c r="C357" s="9"/>
      <c r="D357" s="9"/>
      <c r="E357" s="19"/>
      <c r="F357" s="19"/>
      <c r="G357" s="19">
        <v>70000000</v>
      </c>
      <c r="H357" s="19"/>
      <c r="I357" s="7"/>
      <c r="J357" s="9"/>
      <c r="K357" s="9"/>
      <c r="L357" s="9"/>
      <c r="M357" s="2" t="s">
        <v>643</v>
      </c>
      <c r="N357" s="28"/>
    </row>
    <row r="358" spans="1:14" ht="85.5" x14ac:dyDescent="0.25">
      <c r="A358" s="32" t="s">
        <v>188</v>
      </c>
      <c r="B358" s="33" t="s">
        <v>138</v>
      </c>
      <c r="C358" s="112">
        <f>C359</f>
        <v>0</v>
      </c>
      <c r="D358" s="112"/>
      <c r="E358" s="112"/>
      <c r="F358" s="112"/>
      <c r="G358" s="112">
        <f t="shared" ref="G358:L359" si="122">G359</f>
        <v>0</v>
      </c>
      <c r="H358" s="112">
        <f t="shared" si="122"/>
        <v>10000000</v>
      </c>
      <c r="I358" s="112"/>
      <c r="J358" s="112"/>
      <c r="K358" s="112">
        <f t="shared" si="122"/>
        <v>2347800</v>
      </c>
      <c r="L358" s="112">
        <f t="shared" si="122"/>
        <v>2347800</v>
      </c>
      <c r="M358" s="2"/>
      <c r="N358" s="28"/>
    </row>
    <row r="359" spans="1:14" ht="60" x14ac:dyDescent="0.25">
      <c r="A359" s="32"/>
      <c r="B359" s="30" t="s">
        <v>156</v>
      </c>
      <c r="C359" s="8">
        <f>C360</f>
        <v>0</v>
      </c>
      <c r="D359" s="8"/>
      <c r="E359" s="8"/>
      <c r="F359" s="8"/>
      <c r="G359" s="8">
        <f t="shared" si="122"/>
        <v>0</v>
      </c>
      <c r="H359" s="8">
        <f t="shared" si="122"/>
        <v>10000000</v>
      </c>
      <c r="I359" s="8"/>
      <c r="J359" s="8"/>
      <c r="K359" s="8">
        <f t="shared" si="122"/>
        <v>2347800</v>
      </c>
      <c r="L359" s="8">
        <f t="shared" si="122"/>
        <v>2347800</v>
      </c>
      <c r="M359" s="2"/>
      <c r="N359" s="28"/>
    </row>
    <row r="360" spans="1:14" ht="53.25" customHeight="1" x14ac:dyDescent="0.25">
      <c r="A360" s="32"/>
      <c r="B360" s="44" t="s">
        <v>260</v>
      </c>
      <c r="C360" s="4"/>
      <c r="D360" s="4"/>
      <c r="E360" s="4"/>
      <c r="F360" s="4"/>
      <c r="G360" s="4"/>
      <c r="H360" s="4">
        <v>10000000</v>
      </c>
      <c r="I360" s="4"/>
      <c r="J360" s="4"/>
      <c r="K360" s="4">
        <v>2347800</v>
      </c>
      <c r="L360" s="4">
        <v>2347800</v>
      </c>
      <c r="M360" s="2" t="s">
        <v>644</v>
      </c>
      <c r="N360" s="28"/>
    </row>
    <row r="361" spans="1:14" ht="117.75" hidden="1" customHeight="1" x14ac:dyDescent="0.25">
      <c r="A361" s="32"/>
      <c r="B361" s="47"/>
      <c r="C361" s="7"/>
      <c r="D361" s="7"/>
      <c r="E361" s="9"/>
      <c r="F361" s="9"/>
      <c r="G361" s="9"/>
      <c r="H361" s="9"/>
      <c r="I361" s="9"/>
      <c r="J361" s="9"/>
      <c r="K361" s="9"/>
      <c r="L361" s="9"/>
      <c r="M361" s="2"/>
      <c r="N361" s="28"/>
    </row>
    <row r="362" spans="1:14" ht="85.5" x14ac:dyDescent="0.25">
      <c r="A362" s="32" t="s">
        <v>189</v>
      </c>
      <c r="B362" s="88" t="s">
        <v>15</v>
      </c>
      <c r="C362" s="107">
        <f t="shared" ref="C362" si="123">C363+C370+C382</f>
        <v>0</v>
      </c>
      <c r="D362" s="107"/>
      <c r="E362" s="107"/>
      <c r="F362" s="107"/>
      <c r="G362" s="107">
        <f t="shared" ref="G362:H362" si="124">G363+G370+G382</f>
        <v>0</v>
      </c>
      <c r="H362" s="107">
        <f t="shared" si="124"/>
        <v>22136607</v>
      </c>
      <c r="I362" s="107"/>
      <c r="J362" s="107"/>
      <c r="K362" s="107">
        <f t="shared" ref="K362:L362" si="125">K363+K370+K382</f>
        <v>346689</v>
      </c>
      <c r="L362" s="107">
        <f t="shared" si="125"/>
        <v>0</v>
      </c>
      <c r="M362" s="2"/>
      <c r="N362" s="28"/>
    </row>
    <row r="363" spans="1:14" ht="85.5" x14ac:dyDescent="0.25">
      <c r="A363" s="32" t="s">
        <v>190</v>
      </c>
      <c r="B363" s="88" t="s">
        <v>16</v>
      </c>
      <c r="C363" s="107">
        <f t="shared" ref="C363" si="126">C364+C366</f>
        <v>0</v>
      </c>
      <c r="D363" s="107"/>
      <c r="E363" s="107"/>
      <c r="F363" s="107"/>
      <c r="G363" s="107">
        <f t="shared" ref="G363:H363" si="127">G364+G366</f>
        <v>0</v>
      </c>
      <c r="H363" s="107">
        <f t="shared" si="127"/>
        <v>7435000</v>
      </c>
      <c r="I363" s="107"/>
      <c r="J363" s="107"/>
      <c r="K363" s="107">
        <f t="shared" ref="K363:L363" si="128">K364+K366</f>
        <v>0</v>
      </c>
      <c r="L363" s="107">
        <f t="shared" si="128"/>
        <v>0</v>
      </c>
      <c r="M363" s="2"/>
      <c r="N363" s="28"/>
    </row>
    <row r="364" spans="1:14" ht="45" hidden="1" customHeight="1" x14ac:dyDescent="0.25">
      <c r="A364" s="32"/>
      <c r="B364" s="30" t="s">
        <v>42</v>
      </c>
      <c r="C364" s="107">
        <f t="shared" ref="C364" si="129">C365</f>
        <v>0</v>
      </c>
      <c r="D364" s="107"/>
      <c r="E364" s="107"/>
      <c r="F364" s="107"/>
      <c r="G364" s="107"/>
      <c r="H364" s="107"/>
      <c r="I364" s="107"/>
      <c r="J364" s="107"/>
      <c r="K364" s="107"/>
      <c r="L364" s="107"/>
      <c r="M364" s="2"/>
      <c r="N364" s="28"/>
    </row>
    <row r="365" spans="1:14" ht="15.75" hidden="1" customHeight="1" x14ac:dyDescent="0.25">
      <c r="A365" s="32"/>
      <c r="B365" s="3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2"/>
      <c r="N365" s="28"/>
    </row>
    <row r="366" spans="1:14" ht="45" x14ac:dyDescent="0.25">
      <c r="A366" s="32"/>
      <c r="B366" s="37" t="s">
        <v>142</v>
      </c>
      <c r="C366" s="8">
        <f>C367+C368+C369</f>
        <v>0</v>
      </c>
      <c r="D366" s="8"/>
      <c r="E366" s="8"/>
      <c r="F366" s="8"/>
      <c r="G366" s="8">
        <f>G367</f>
        <v>0</v>
      </c>
      <c r="H366" s="8">
        <f>H367</f>
        <v>7435000</v>
      </c>
      <c r="I366" s="8"/>
      <c r="J366" s="8"/>
      <c r="K366" s="8">
        <f t="shared" ref="K366:L366" si="130">K367+K368+K369</f>
        <v>0</v>
      </c>
      <c r="L366" s="8">
        <f t="shared" si="130"/>
        <v>0</v>
      </c>
      <c r="M366" s="2"/>
      <c r="N366" s="28"/>
    </row>
    <row r="367" spans="1:14" ht="30" x14ac:dyDescent="0.25">
      <c r="A367" s="32"/>
      <c r="B367" s="39" t="s">
        <v>410</v>
      </c>
      <c r="C367" s="8"/>
      <c r="D367" s="8"/>
      <c r="E367" s="9"/>
      <c r="F367" s="9"/>
      <c r="H367" s="9">
        <v>7435000</v>
      </c>
      <c r="I367" s="8"/>
      <c r="J367" s="8"/>
      <c r="K367" s="8"/>
      <c r="L367" s="8"/>
      <c r="M367" s="2" t="s">
        <v>565</v>
      </c>
      <c r="N367" s="28"/>
    </row>
    <row r="368" spans="1:14" ht="15.75" hidden="1" customHeight="1" x14ac:dyDescent="0.25">
      <c r="A368" s="32"/>
      <c r="B368" s="46"/>
      <c r="C368" s="118"/>
      <c r="D368" s="118"/>
      <c r="E368" s="9"/>
      <c r="F368" s="9"/>
      <c r="G368" s="9"/>
      <c r="H368" s="9"/>
      <c r="I368" s="9"/>
      <c r="J368" s="9"/>
      <c r="K368" s="9"/>
      <c r="L368" s="9"/>
      <c r="M368" s="2"/>
      <c r="N368" s="28"/>
    </row>
    <row r="369" spans="1:14" ht="15.75" hidden="1" customHeight="1" x14ac:dyDescent="0.25">
      <c r="A369" s="32"/>
      <c r="B369" s="3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2"/>
      <c r="N369" s="28"/>
    </row>
    <row r="370" spans="1:14" ht="85.5" x14ac:dyDescent="0.25">
      <c r="A370" s="32" t="s">
        <v>17</v>
      </c>
      <c r="B370" s="88" t="s">
        <v>132</v>
      </c>
      <c r="C370" s="107">
        <f>C371</f>
        <v>0</v>
      </c>
      <c r="D370" s="107"/>
      <c r="E370" s="107"/>
      <c r="F370" s="107"/>
      <c r="G370" s="107">
        <f t="shared" ref="G370:L370" si="131">G371</f>
        <v>0</v>
      </c>
      <c r="H370" s="107">
        <f t="shared" si="131"/>
        <v>14701607</v>
      </c>
      <c r="I370" s="107"/>
      <c r="J370" s="107"/>
      <c r="K370" s="107">
        <f t="shared" si="131"/>
        <v>0</v>
      </c>
      <c r="L370" s="107">
        <f t="shared" si="131"/>
        <v>0</v>
      </c>
      <c r="M370" s="2"/>
      <c r="N370" s="28"/>
    </row>
    <row r="371" spans="1:14" ht="45" x14ac:dyDescent="0.25">
      <c r="A371" s="32"/>
      <c r="B371" s="37" t="s">
        <v>142</v>
      </c>
      <c r="C371" s="8">
        <f>SUM(C372:C380)</f>
        <v>0</v>
      </c>
      <c r="D371" s="8"/>
      <c r="E371" s="8"/>
      <c r="F371" s="8"/>
      <c r="G371" s="8">
        <f t="shared" ref="G371:L371" si="132">SUM(G372:G380)</f>
        <v>0</v>
      </c>
      <c r="H371" s="8">
        <f t="shared" si="132"/>
        <v>14701607</v>
      </c>
      <c r="I371" s="8"/>
      <c r="J371" s="8"/>
      <c r="K371" s="8">
        <f t="shared" si="132"/>
        <v>0</v>
      </c>
      <c r="L371" s="8">
        <f t="shared" si="132"/>
        <v>0</v>
      </c>
      <c r="M371" s="2"/>
      <c r="N371" s="28"/>
    </row>
    <row r="372" spans="1:14" ht="15.75" hidden="1" customHeight="1" x14ac:dyDescent="0.25">
      <c r="A372" s="40"/>
      <c r="B372" s="119"/>
      <c r="C372" s="26"/>
      <c r="D372" s="25"/>
      <c r="E372" s="26"/>
      <c r="F372" s="26"/>
      <c r="G372" s="26"/>
      <c r="H372" s="26"/>
      <c r="I372" s="26"/>
      <c r="J372" s="26"/>
      <c r="K372" s="26"/>
      <c r="L372" s="26"/>
      <c r="M372" s="2"/>
      <c r="N372" s="28"/>
    </row>
    <row r="373" spans="1:14" ht="15.75" hidden="1" customHeight="1" x14ac:dyDescent="0.25">
      <c r="A373" s="120"/>
      <c r="B373" s="121"/>
      <c r="C373" s="25"/>
      <c r="D373" s="25"/>
      <c r="E373" s="26"/>
      <c r="F373" s="25"/>
      <c r="G373" s="25"/>
      <c r="H373" s="25"/>
      <c r="I373" s="26"/>
      <c r="J373" s="25"/>
      <c r="K373" s="122"/>
      <c r="L373" s="25"/>
      <c r="M373" s="2"/>
      <c r="N373" s="28"/>
    </row>
    <row r="374" spans="1:14" ht="69.75" hidden="1" customHeight="1" x14ac:dyDescent="0.25">
      <c r="A374" s="40"/>
      <c r="B374" s="121"/>
      <c r="C374" s="25"/>
      <c r="D374" s="25"/>
      <c r="E374" s="26"/>
      <c r="F374" s="25"/>
      <c r="G374" s="25"/>
      <c r="H374" s="26"/>
      <c r="I374" s="26"/>
      <c r="J374" s="26"/>
      <c r="K374" s="122"/>
      <c r="L374" s="122"/>
      <c r="M374" s="2"/>
      <c r="N374" s="28"/>
    </row>
    <row r="375" spans="1:14" ht="75" x14ac:dyDescent="0.25">
      <c r="A375" s="40"/>
      <c r="B375" s="41" t="s">
        <v>406</v>
      </c>
      <c r="C375" s="25"/>
      <c r="D375" s="25"/>
      <c r="E375" s="26"/>
      <c r="F375" s="25"/>
      <c r="H375" s="4">
        <v>14701607</v>
      </c>
      <c r="I375" s="26"/>
      <c r="J375" s="26"/>
      <c r="K375" s="122"/>
      <c r="L375" s="122"/>
      <c r="M375" s="2" t="s">
        <v>557</v>
      </c>
      <c r="N375" s="28"/>
    </row>
    <row r="376" spans="1:14" ht="69.75" hidden="1" customHeight="1" x14ac:dyDescent="0.25">
      <c r="A376" s="40"/>
      <c r="B376" s="121"/>
      <c r="C376" s="25"/>
      <c r="D376" s="25"/>
      <c r="E376" s="26"/>
      <c r="F376" s="25"/>
      <c r="G376" s="25"/>
      <c r="H376" s="26"/>
      <c r="I376" s="26"/>
      <c r="J376" s="26"/>
      <c r="K376" s="122"/>
      <c r="L376" s="122"/>
      <c r="M376" s="2"/>
      <c r="N376" s="28"/>
    </row>
    <row r="377" spans="1:14" ht="69.75" hidden="1" customHeight="1" x14ac:dyDescent="0.25">
      <c r="A377" s="40"/>
      <c r="B377" s="121"/>
      <c r="C377" s="25"/>
      <c r="D377" s="25"/>
      <c r="E377" s="26"/>
      <c r="F377" s="25"/>
      <c r="G377" s="25"/>
      <c r="H377" s="26"/>
      <c r="I377" s="26"/>
      <c r="J377" s="26"/>
      <c r="K377" s="122"/>
      <c r="L377" s="122"/>
      <c r="M377" s="2"/>
      <c r="N377" s="28"/>
    </row>
    <row r="378" spans="1:14" ht="30" hidden="1" customHeight="1" x14ac:dyDescent="0.25">
      <c r="A378" s="32"/>
      <c r="B378" s="41" t="s">
        <v>407</v>
      </c>
      <c r="C378" s="8"/>
      <c r="D378" s="8"/>
      <c r="E378" s="4"/>
      <c r="F378" s="8"/>
      <c r="G378" s="8"/>
      <c r="H378" s="8"/>
      <c r="I378" s="4"/>
      <c r="J378" s="4"/>
      <c r="K378" s="9">
        <v>0</v>
      </c>
      <c r="L378" s="4"/>
      <c r="M378" s="2"/>
      <c r="N378" s="28"/>
    </row>
    <row r="379" spans="1:14" s="124" customFormat="1" ht="15.75" hidden="1" customHeight="1" x14ac:dyDescent="0.25">
      <c r="A379" s="40"/>
      <c r="B379" s="121"/>
      <c r="C379" s="25"/>
      <c r="D379" s="25"/>
      <c r="E379" s="26"/>
      <c r="F379" s="25"/>
      <c r="G379" s="25"/>
      <c r="H379" s="26"/>
      <c r="I379" s="26"/>
      <c r="J379" s="26"/>
      <c r="K379" s="122"/>
      <c r="L379" s="26"/>
      <c r="M379" s="2"/>
      <c r="N379" s="123"/>
    </row>
    <row r="380" spans="1:14" s="124" customFormat="1" ht="15.75" hidden="1" customHeight="1" x14ac:dyDescent="0.25">
      <c r="A380" s="40"/>
      <c r="B380" s="125"/>
      <c r="C380" s="26"/>
      <c r="D380" s="26"/>
      <c r="E380" s="26"/>
      <c r="F380" s="26"/>
      <c r="G380" s="26"/>
      <c r="H380" s="26"/>
      <c r="I380" s="26"/>
      <c r="J380" s="26"/>
      <c r="K380" s="122"/>
      <c r="L380" s="26"/>
      <c r="M380" s="2"/>
      <c r="N380" s="123"/>
    </row>
    <row r="381" spans="1:14" ht="15.75" hidden="1" customHeight="1" x14ac:dyDescent="0.25">
      <c r="A381" s="32"/>
      <c r="B381" s="41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2"/>
      <c r="N381" s="28"/>
    </row>
    <row r="382" spans="1:14" ht="71.25" hidden="1" customHeight="1" x14ac:dyDescent="0.25">
      <c r="A382" s="32" t="s">
        <v>191</v>
      </c>
      <c r="B382" s="33" t="s">
        <v>18</v>
      </c>
      <c r="C382" s="112">
        <f t="shared" ref="C382:L382" si="133">C383</f>
        <v>0</v>
      </c>
      <c r="D382" s="112"/>
      <c r="E382" s="112"/>
      <c r="F382" s="112"/>
      <c r="G382" s="112">
        <f t="shared" si="133"/>
        <v>0</v>
      </c>
      <c r="H382" s="112">
        <f t="shared" si="133"/>
        <v>0</v>
      </c>
      <c r="I382" s="112"/>
      <c r="J382" s="112"/>
      <c r="K382" s="112">
        <f t="shared" si="133"/>
        <v>346689</v>
      </c>
      <c r="L382" s="112">
        <f t="shared" si="133"/>
        <v>0</v>
      </c>
      <c r="M382" s="2"/>
      <c r="N382" s="28"/>
    </row>
    <row r="383" spans="1:14" ht="45" hidden="1" customHeight="1" x14ac:dyDescent="0.25">
      <c r="A383" s="32"/>
      <c r="B383" s="37" t="s">
        <v>142</v>
      </c>
      <c r="C383" s="8">
        <f>SUM(C384:C386)</f>
        <v>0</v>
      </c>
      <c r="D383" s="8"/>
      <c r="E383" s="8"/>
      <c r="F383" s="8"/>
      <c r="G383" s="8">
        <f t="shared" ref="G383:L383" si="134">SUM(G384:G386)</f>
        <v>0</v>
      </c>
      <c r="H383" s="8">
        <f t="shared" si="134"/>
        <v>0</v>
      </c>
      <c r="I383" s="8"/>
      <c r="J383" s="8"/>
      <c r="K383" s="8">
        <f t="shared" si="134"/>
        <v>346689</v>
      </c>
      <c r="L383" s="8">
        <f t="shared" si="134"/>
        <v>0</v>
      </c>
      <c r="M383" s="2"/>
      <c r="N383" s="28"/>
    </row>
    <row r="384" spans="1:14" ht="75" hidden="1" customHeight="1" x14ac:dyDescent="0.25">
      <c r="A384" s="32"/>
      <c r="B384" s="39" t="s">
        <v>406</v>
      </c>
      <c r="C384" s="8"/>
      <c r="D384" s="8"/>
      <c r="E384" s="4"/>
      <c r="F384" s="8"/>
      <c r="G384" s="8"/>
      <c r="H384" s="8"/>
      <c r="I384" s="9"/>
      <c r="J384" s="8"/>
      <c r="K384" s="9"/>
      <c r="L384" s="8"/>
      <c r="M384" s="2"/>
      <c r="N384" s="28"/>
    </row>
    <row r="385" spans="1:14" ht="60" hidden="1" customHeight="1" x14ac:dyDescent="0.25">
      <c r="A385" s="32"/>
      <c r="B385" s="39" t="s">
        <v>409</v>
      </c>
      <c r="C385" s="4"/>
      <c r="D385" s="4"/>
      <c r="E385" s="9"/>
      <c r="F385" s="9"/>
      <c r="G385" s="9"/>
      <c r="H385" s="9"/>
      <c r="I385" s="11"/>
      <c r="J385" s="9"/>
      <c r="K385" s="9">
        <v>346233</v>
      </c>
      <c r="L385" s="9"/>
      <c r="M385" s="2"/>
      <c r="N385" s="28"/>
    </row>
    <row r="386" spans="1:14" ht="30" hidden="1" customHeight="1" x14ac:dyDescent="0.25">
      <c r="A386" s="32"/>
      <c r="B386" s="39" t="s">
        <v>410</v>
      </c>
      <c r="C386" s="4"/>
      <c r="D386" s="4"/>
      <c r="E386" s="9"/>
      <c r="F386" s="9"/>
      <c r="G386" s="9"/>
      <c r="H386" s="9"/>
      <c r="I386" s="11"/>
      <c r="J386" s="9"/>
      <c r="K386" s="9">
        <v>456</v>
      </c>
      <c r="L386" s="9"/>
      <c r="M386" s="2"/>
      <c r="N386" s="28"/>
    </row>
    <row r="387" spans="1:14" ht="15.75" hidden="1" customHeight="1" x14ac:dyDescent="0.25">
      <c r="A387" s="32"/>
      <c r="B387" s="3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2"/>
      <c r="N387" s="28"/>
    </row>
    <row r="388" spans="1:14" ht="85.5" x14ac:dyDescent="0.25">
      <c r="A388" s="32" t="s">
        <v>82</v>
      </c>
      <c r="B388" s="88" t="s">
        <v>78</v>
      </c>
      <c r="C388" s="10">
        <f>C389</f>
        <v>0</v>
      </c>
      <c r="D388" s="10"/>
      <c r="E388" s="10"/>
      <c r="F388" s="10"/>
      <c r="G388" s="10">
        <f t="shared" ref="G388:L389" si="135">G389</f>
        <v>0</v>
      </c>
      <c r="H388" s="10">
        <f t="shared" si="135"/>
        <v>41163393</v>
      </c>
      <c r="I388" s="10"/>
      <c r="J388" s="10"/>
      <c r="K388" s="10">
        <f t="shared" si="135"/>
        <v>0</v>
      </c>
      <c r="L388" s="10">
        <f t="shared" si="135"/>
        <v>0</v>
      </c>
      <c r="M388" s="2"/>
      <c r="N388" s="28"/>
    </row>
    <row r="389" spans="1:14" ht="85.5" x14ac:dyDescent="0.25">
      <c r="A389" s="32" t="s">
        <v>141</v>
      </c>
      <c r="B389" s="33" t="s">
        <v>79</v>
      </c>
      <c r="C389" s="10">
        <f>C390</f>
        <v>0</v>
      </c>
      <c r="D389" s="10"/>
      <c r="E389" s="10"/>
      <c r="F389" s="10"/>
      <c r="G389" s="10">
        <f t="shared" si="135"/>
        <v>0</v>
      </c>
      <c r="H389" s="10">
        <f t="shared" si="135"/>
        <v>41163393</v>
      </c>
      <c r="I389" s="10"/>
      <c r="J389" s="10"/>
      <c r="K389" s="10">
        <f t="shared" si="135"/>
        <v>0</v>
      </c>
      <c r="L389" s="10">
        <f t="shared" si="135"/>
        <v>0</v>
      </c>
      <c r="M389" s="2"/>
      <c r="N389" s="28"/>
    </row>
    <row r="390" spans="1:14" ht="45" x14ac:dyDescent="0.25">
      <c r="A390" s="126"/>
      <c r="B390" s="37" t="s">
        <v>142</v>
      </c>
      <c r="C390" s="7">
        <f>C391+C393</f>
        <v>0</v>
      </c>
      <c r="D390" s="7"/>
      <c r="E390" s="7"/>
      <c r="F390" s="7"/>
      <c r="G390" s="7">
        <f>G391+G392+G393</f>
        <v>0</v>
      </c>
      <c r="H390" s="7">
        <f>H391+H392+H393</f>
        <v>41163393</v>
      </c>
      <c r="I390" s="7"/>
      <c r="J390" s="7"/>
      <c r="K390" s="7">
        <f t="shared" ref="K390:L390" si="136">K391+K393</f>
        <v>0</v>
      </c>
      <c r="L390" s="7">
        <f t="shared" si="136"/>
        <v>0</v>
      </c>
      <c r="M390" s="2"/>
      <c r="N390" s="28"/>
    </row>
    <row r="391" spans="1:14" ht="62.25" customHeight="1" x14ac:dyDescent="0.25">
      <c r="A391" s="126"/>
      <c r="B391" s="41" t="s">
        <v>406</v>
      </c>
      <c r="C391" s="7"/>
      <c r="D391" s="7"/>
      <c r="E391" s="9"/>
      <c r="F391" s="7"/>
      <c r="G391" s="22"/>
      <c r="H391" s="9">
        <v>39500000</v>
      </c>
      <c r="I391" s="7"/>
      <c r="J391" s="7"/>
      <c r="K391" s="7"/>
      <c r="L391" s="7"/>
      <c r="M391" s="2" t="s">
        <v>565</v>
      </c>
      <c r="N391" s="28"/>
    </row>
    <row r="392" spans="1:14" ht="60" x14ac:dyDescent="0.25">
      <c r="A392" s="126"/>
      <c r="B392" s="39" t="s">
        <v>409</v>
      </c>
      <c r="C392" s="7"/>
      <c r="D392" s="7"/>
      <c r="E392" s="9"/>
      <c r="F392" s="7"/>
      <c r="G392" s="22"/>
      <c r="H392" s="9">
        <v>1203393</v>
      </c>
      <c r="I392" s="7"/>
      <c r="J392" s="7"/>
      <c r="K392" s="7"/>
      <c r="L392" s="7"/>
      <c r="M392" s="2" t="s">
        <v>566</v>
      </c>
      <c r="N392" s="28"/>
    </row>
    <row r="393" spans="1:14" ht="30" x14ac:dyDescent="0.25">
      <c r="A393" s="126"/>
      <c r="B393" s="39" t="s">
        <v>410</v>
      </c>
      <c r="C393" s="7"/>
      <c r="D393" s="7"/>
      <c r="E393" s="9"/>
      <c r="F393" s="7"/>
      <c r="G393" s="22"/>
      <c r="H393" s="9">
        <v>460000</v>
      </c>
      <c r="I393" s="7"/>
      <c r="J393" s="7"/>
      <c r="K393" s="7"/>
      <c r="L393" s="7"/>
      <c r="M393" s="2" t="s">
        <v>565</v>
      </c>
      <c r="N393" s="28"/>
    </row>
    <row r="394" spans="1:14" ht="71.25" x14ac:dyDescent="0.25">
      <c r="A394" s="32" t="s">
        <v>192</v>
      </c>
      <c r="B394" s="88" t="s">
        <v>80</v>
      </c>
      <c r="C394" s="10">
        <f>C395+C401+C405</f>
        <v>0</v>
      </c>
      <c r="D394" s="10"/>
      <c r="E394" s="10"/>
      <c r="F394" s="10"/>
      <c r="G394" s="10">
        <f t="shared" ref="G394:L394" si="137">G395+G401+G405</f>
        <v>562343</v>
      </c>
      <c r="H394" s="10">
        <f t="shared" si="137"/>
        <v>0</v>
      </c>
      <c r="I394" s="10"/>
      <c r="J394" s="10"/>
      <c r="K394" s="10">
        <f t="shared" si="137"/>
        <v>3674400</v>
      </c>
      <c r="L394" s="10">
        <f t="shared" si="137"/>
        <v>4451174</v>
      </c>
      <c r="M394" s="2"/>
      <c r="N394" s="28"/>
    </row>
    <row r="395" spans="1:14" ht="71.25" hidden="1" customHeight="1" x14ac:dyDescent="0.25">
      <c r="A395" s="32" t="s">
        <v>63</v>
      </c>
      <c r="B395" s="79" t="s">
        <v>36</v>
      </c>
      <c r="C395" s="10">
        <f>C396+C398</f>
        <v>0</v>
      </c>
      <c r="D395" s="10"/>
      <c r="E395" s="10"/>
      <c r="F395" s="10"/>
      <c r="G395" s="10">
        <f t="shared" ref="G395:H395" si="138">G396+G398</f>
        <v>0</v>
      </c>
      <c r="H395" s="10">
        <f t="shared" si="138"/>
        <v>0</v>
      </c>
      <c r="I395" s="10"/>
      <c r="J395" s="10"/>
      <c r="K395" s="10">
        <f t="shared" ref="K395:L395" si="139">K396+K398</f>
        <v>694900</v>
      </c>
      <c r="L395" s="10">
        <f t="shared" si="139"/>
        <v>694900</v>
      </c>
      <c r="M395" s="2"/>
      <c r="N395" s="28"/>
    </row>
    <row r="396" spans="1:14" ht="15.75" hidden="1" customHeight="1" x14ac:dyDescent="0.25">
      <c r="A396" s="127"/>
      <c r="B396" s="42" t="s">
        <v>34</v>
      </c>
      <c r="C396" s="7">
        <f>C397</f>
        <v>0</v>
      </c>
      <c r="D396" s="7"/>
      <c r="E396" s="7"/>
      <c r="F396" s="7"/>
      <c r="G396" s="7">
        <f t="shared" ref="G396:L396" si="140">G397</f>
        <v>0</v>
      </c>
      <c r="H396" s="7">
        <f t="shared" si="140"/>
        <v>0</v>
      </c>
      <c r="I396" s="7"/>
      <c r="J396" s="7"/>
      <c r="K396" s="7">
        <f t="shared" si="140"/>
        <v>0</v>
      </c>
      <c r="L396" s="7">
        <f t="shared" si="140"/>
        <v>0</v>
      </c>
      <c r="M396" s="2"/>
      <c r="N396" s="28"/>
    </row>
    <row r="397" spans="1:14" ht="15.75" hidden="1" customHeight="1" x14ac:dyDescent="0.25">
      <c r="A397" s="127"/>
      <c r="B397" s="3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2"/>
      <c r="N397" s="28"/>
    </row>
    <row r="398" spans="1:14" ht="30" hidden="1" customHeight="1" x14ac:dyDescent="0.25">
      <c r="A398" s="127"/>
      <c r="B398" s="42" t="s">
        <v>77</v>
      </c>
      <c r="C398" s="7">
        <f>C400+C399</f>
        <v>0</v>
      </c>
      <c r="D398" s="7"/>
      <c r="E398" s="7"/>
      <c r="F398" s="7"/>
      <c r="G398" s="7">
        <f t="shared" ref="G398:H398" si="141">G400+G399</f>
        <v>0</v>
      </c>
      <c r="H398" s="7">
        <f t="shared" si="141"/>
        <v>0</v>
      </c>
      <c r="I398" s="7"/>
      <c r="J398" s="7"/>
      <c r="K398" s="7">
        <f t="shared" ref="K398:L398" si="142">K400+K399</f>
        <v>694900</v>
      </c>
      <c r="L398" s="7">
        <f t="shared" si="142"/>
        <v>694900</v>
      </c>
      <c r="M398" s="2"/>
      <c r="N398" s="28"/>
    </row>
    <row r="399" spans="1:14" ht="75" hidden="1" customHeight="1" x14ac:dyDescent="0.25">
      <c r="A399" s="127"/>
      <c r="B399" s="104" t="s">
        <v>352</v>
      </c>
      <c r="C399" s="9"/>
      <c r="D399" s="9"/>
      <c r="E399" s="9"/>
      <c r="F399" s="9"/>
      <c r="G399" s="9"/>
      <c r="H399" s="9"/>
      <c r="I399" s="9"/>
      <c r="J399" s="9"/>
      <c r="K399" s="9">
        <v>694900</v>
      </c>
      <c r="L399" s="9">
        <v>694900</v>
      </c>
      <c r="M399" s="2" t="s">
        <v>351</v>
      </c>
      <c r="N399" s="28"/>
    </row>
    <row r="400" spans="1:14" ht="15.75" hidden="1" customHeight="1" x14ac:dyDescent="0.25">
      <c r="A400" s="127"/>
      <c r="B400" s="3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2"/>
      <c r="N400" s="28"/>
    </row>
    <row r="401" spans="1:14" ht="57" hidden="1" customHeight="1" x14ac:dyDescent="0.25">
      <c r="A401" s="32" t="s">
        <v>107</v>
      </c>
      <c r="B401" s="33" t="s">
        <v>108</v>
      </c>
      <c r="C401" s="10">
        <f t="shared" ref="C401:L402" si="143">C402</f>
        <v>0</v>
      </c>
      <c r="D401" s="10"/>
      <c r="E401" s="10"/>
      <c r="F401" s="10"/>
      <c r="G401" s="10">
        <f t="shared" si="143"/>
        <v>0</v>
      </c>
      <c r="H401" s="10">
        <f t="shared" si="143"/>
        <v>0</v>
      </c>
      <c r="I401" s="10"/>
      <c r="J401" s="10"/>
      <c r="K401" s="10">
        <f t="shared" si="143"/>
        <v>0</v>
      </c>
      <c r="L401" s="10">
        <f t="shared" si="143"/>
        <v>0</v>
      </c>
      <c r="M401" s="2"/>
      <c r="N401" s="28"/>
    </row>
    <row r="402" spans="1:14" ht="30" hidden="1" customHeight="1" x14ac:dyDescent="0.25">
      <c r="A402" s="127"/>
      <c r="B402" s="30" t="s">
        <v>77</v>
      </c>
      <c r="C402" s="7">
        <f t="shared" si="143"/>
        <v>0</v>
      </c>
      <c r="D402" s="7"/>
      <c r="E402" s="7"/>
      <c r="F402" s="7"/>
      <c r="G402" s="7">
        <f t="shared" si="143"/>
        <v>0</v>
      </c>
      <c r="H402" s="7">
        <f t="shared" si="143"/>
        <v>0</v>
      </c>
      <c r="I402" s="7"/>
      <c r="J402" s="7"/>
      <c r="K402" s="7">
        <f t="shared" si="143"/>
        <v>0</v>
      </c>
      <c r="L402" s="7">
        <f t="shared" si="143"/>
        <v>0</v>
      </c>
      <c r="M402" s="2"/>
      <c r="N402" s="28"/>
    </row>
    <row r="403" spans="1:14" ht="15.75" hidden="1" customHeight="1" x14ac:dyDescent="0.25">
      <c r="A403" s="127"/>
      <c r="B403" s="3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2"/>
      <c r="N403" s="28"/>
    </row>
    <row r="404" spans="1:14" ht="15.75" hidden="1" customHeight="1" x14ac:dyDescent="0.25">
      <c r="A404" s="127"/>
      <c r="B404" s="3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2"/>
      <c r="N404" s="28"/>
    </row>
    <row r="405" spans="1:14" ht="114" x14ac:dyDescent="0.25">
      <c r="A405" s="32" t="s">
        <v>325</v>
      </c>
      <c r="B405" s="33" t="s">
        <v>326</v>
      </c>
      <c r="C405" s="10">
        <f>C406+C409+C412+C415</f>
        <v>0</v>
      </c>
      <c r="D405" s="10"/>
      <c r="E405" s="10"/>
      <c r="F405" s="10"/>
      <c r="G405" s="10">
        <f t="shared" ref="G405:L405" si="144">G406+G409+G412+G415</f>
        <v>562343</v>
      </c>
      <c r="H405" s="10">
        <f t="shared" si="144"/>
        <v>0</v>
      </c>
      <c r="I405" s="10"/>
      <c r="J405" s="10"/>
      <c r="K405" s="10">
        <f t="shared" si="144"/>
        <v>2979500</v>
      </c>
      <c r="L405" s="10">
        <f t="shared" si="144"/>
        <v>3756274</v>
      </c>
      <c r="M405" s="2"/>
      <c r="N405" s="28"/>
    </row>
    <row r="406" spans="1:14" ht="45" hidden="1" customHeight="1" x14ac:dyDescent="0.25">
      <c r="A406" s="127"/>
      <c r="B406" s="30" t="s">
        <v>44</v>
      </c>
      <c r="C406" s="7">
        <f>C407</f>
        <v>0</v>
      </c>
      <c r="D406" s="7"/>
      <c r="E406" s="7"/>
      <c r="F406" s="7"/>
      <c r="G406" s="7">
        <f t="shared" ref="G406:L406" si="145">G407</f>
        <v>0</v>
      </c>
      <c r="H406" s="7">
        <f t="shared" si="145"/>
        <v>0</v>
      </c>
      <c r="I406" s="7"/>
      <c r="J406" s="7"/>
      <c r="K406" s="7">
        <f t="shared" si="145"/>
        <v>0</v>
      </c>
      <c r="L406" s="7">
        <f t="shared" si="145"/>
        <v>0</v>
      </c>
      <c r="M406" s="2"/>
      <c r="N406" s="28"/>
    </row>
    <row r="407" spans="1:14" ht="53.25" hidden="1" customHeight="1" x14ac:dyDescent="0.25">
      <c r="A407" s="32"/>
      <c r="B407" s="39" t="s">
        <v>327</v>
      </c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2"/>
      <c r="N407" s="28"/>
    </row>
    <row r="408" spans="1:14" ht="15.75" hidden="1" customHeight="1" x14ac:dyDescent="0.25">
      <c r="A408" s="32"/>
      <c r="B408" s="30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2"/>
      <c r="N408" s="28"/>
    </row>
    <row r="409" spans="1:14" ht="45" hidden="1" customHeight="1" x14ac:dyDescent="0.25">
      <c r="A409" s="127"/>
      <c r="B409" s="30" t="s">
        <v>55</v>
      </c>
      <c r="C409" s="7">
        <f>C410</f>
        <v>0</v>
      </c>
      <c r="D409" s="7"/>
      <c r="E409" s="7"/>
      <c r="F409" s="7"/>
      <c r="G409" s="7">
        <f t="shared" ref="G409:L409" si="146">G410</f>
        <v>0</v>
      </c>
      <c r="H409" s="7">
        <f t="shared" si="146"/>
        <v>0</v>
      </c>
      <c r="I409" s="7"/>
      <c r="J409" s="7"/>
      <c r="K409" s="7">
        <f t="shared" si="146"/>
        <v>0</v>
      </c>
      <c r="L409" s="7">
        <f t="shared" si="146"/>
        <v>723643</v>
      </c>
      <c r="M409" s="2"/>
      <c r="N409" s="28"/>
    </row>
    <row r="410" spans="1:14" ht="78.75" hidden="1" customHeight="1" x14ac:dyDescent="0.25">
      <c r="A410" s="32"/>
      <c r="B410" s="39" t="s">
        <v>328</v>
      </c>
      <c r="C410" s="9"/>
      <c r="D410" s="9"/>
      <c r="E410" s="9"/>
      <c r="F410" s="9"/>
      <c r="G410" s="9"/>
      <c r="H410" s="9"/>
      <c r="I410" s="9"/>
      <c r="J410" s="7"/>
      <c r="K410" s="9"/>
      <c r="L410" s="7">
        <f>58874+664769</f>
        <v>723643</v>
      </c>
      <c r="M410" s="2" t="s">
        <v>518</v>
      </c>
      <c r="N410" s="28"/>
    </row>
    <row r="411" spans="1:14" ht="15.75" hidden="1" customHeight="1" x14ac:dyDescent="0.25">
      <c r="A411" s="32"/>
      <c r="B411" s="33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2"/>
      <c r="N411" s="28"/>
    </row>
    <row r="412" spans="1:14" ht="45.75" customHeight="1" x14ac:dyDescent="0.25">
      <c r="A412" s="127"/>
      <c r="B412" s="30" t="s">
        <v>157</v>
      </c>
      <c r="C412" s="7">
        <f>C413+C414</f>
        <v>0</v>
      </c>
      <c r="D412" s="7"/>
      <c r="E412" s="7"/>
      <c r="F412" s="7"/>
      <c r="G412" s="7">
        <f t="shared" ref="G412:L412" si="147">G413+G414</f>
        <v>200000</v>
      </c>
      <c r="H412" s="7">
        <f t="shared" si="147"/>
        <v>0</v>
      </c>
      <c r="I412" s="7"/>
      <c r="J412" s="7"/>
      <c r="K412" s="7">
        <f t="shared" si="147"/>
        <v>80000</v>
      </c>
      <c r="L412" s="7">
        <f t="shared" si="147"/>
        <v>80000</v>
      </c>
      <c r="M412" s="2"/>
      <c r="N412" s="28"/>
    </row>
    <row r="413" spans="1:14" ht="31.5" x14ac:dyDescent="0.25">
      <c r="A413" s="127"/>
      <c r="B413" s="30"/>
      <c r="C413" s="9"/>
      <c r="D413" s="9"/>
      <c r="E413" s="9"/>
      <c r="F413" s="9"/>
      <c r="G413" s="9">
        <v>200000</v>
      </c>
      <c r="H413" s="9"/>
      <c r="I413" s="9"/>
      <c r="J413" s="9"/>
      <c r="K413" s="9"/>
      <c r="L413" s="9"/>
      <c r="M413" s="2" t="s">
        <v>481</v>
      </c>
      <c r="N413" s="28"/>
    </row>
    <row r="414" spans="1:14" ht="31.5" hidden="1" customHeight="1" x14ac:dyDescent="0.25">
      <c r="A414" s="127"/>
      <c r="B414" s="39"/>
      <c r="C414" s="9"/>
      <c r="D414" s="9"/>
      <c r="E414" s="9"/>
      <c r="F414" s="9"/>
      <c r="G414" s="9"/>
      <c r="H414" s="9"/>
      <c r="I414" s="9"/>
      <c r="J414" s="9"/>
      <c r="K414" s="9">
        <v>80000</v>
      </c>
      <c r="L414" s="9">
        <v>80000</v>
      </c>
      <c r="M414" s="2" t="s">
        <v>482</v>
      </c>
      <c r="N414" s="28"/>
    </row>
    <row r="415" spans="1:14" ht="30" x14ac:dyDescent="0.25">
      <c r="A415" s="127"/>
      <c r="B415" s="30" t="s">
        <v>77</v>
      </c>
      <c r="C415" s="7">
        <f>SUM(C416:C419)</f>
        <v>0</v>
      </c>
      <c r="D415" s="7"/>
      <c r="E415" s="7"/>
      <c r="F415" s="7"/>
      <c r="G415" s="7">
        <f t="shared" ref="G415:L415" si="148">SUM(G416:G419)</f>
        <v>362343</v>
      </c>
      <c r="H415" s="7">
        <f t="shared" si="148"/>
        <v>0</v>
      </c>
      <c r="I415" s="7"/>
      <c r="J415" s="7"/>
      <c r="K415" s="7">
        <f t="shared" si="148"/>
        <v>2899500</v>
      </c>
      <c r="L415" s="7">
        <f t="shared" si="148"/>
        <v>2952631</v>
      </c>
      <c r="M415" s="2"/>
      <c r="N415" s="28"/>
    </row>
    <row r="416" spans="1:14" ht="31.5" hidden="1" customHeight="1" x14ac:dyDescent="0.25">
      <c r="A416" s="127"/>
      <c r="B416" s="30"/>
      <c r="C416" s="7"/>
      <c r="D416" s="7"/>
      <c r="E416" s="7"/>
      <c r="F416" s="7"/>
      <c r="G416" s="7"/>
      <c r="H416" s="7"/>
      <c r="I416" s="9"/>
      <c r="J416" s="9"/>
      <c r="K416" s="9">
        <v>99500</v>
      </c>
      <c r="L416" s="9">
        <v>99500</v>
      </c>
      <c r="M416" s="2" t="s">
        <v>483</v>
      </c>
      <c r="N416" s="28"/>
    </row>
    <row r="417" spans="1:14" ht="69.75" customHeight="1" x14ac:dyDescent="0.25">
      <c r="A417" s="127"/>
      <c r="B417" s="39" t="s">
        <v>353</v>
      </c>
      <c r="C417" s="7"/>
      <c r="D417" s="7"/>
      <c r="E417" s="9"/>
      <c r="F417" s="7"/>
      <c r="G417" s="9">
        <v>362343</v>
      </c>
      <c r="H417" s="7"/>
      <c r="I417" s="9"/>
      <c r="J417" s="9"/>
      <c r="K417" s="7"/>
      <c r="L417" s="7"/>
      <c r="M417" s="68" t="s">
        <v>598</v>
      </c>
      <c r="N417" s="28"/>
    </row>
    <row r="418" spans="1:14" ht="54.75" hidden="1" customHeight="1" x14ac:dyDescent="0.25">
      <c r="A418" s="127"/>
      <c r="B418" s="30"/>
      <c r="C418" s="7"/>
      <c r="D418" s="7"/>
      <c r="E418" s="7"/>
      <c r="F418" s="7"/>
      <c r="G418" s="7"/>
      <c r="H418" s="7"/>
      <c r="I418" s="7"/>
      <c r="J418" s="9"/>
      <c r="K418" s="9"/>
      <c r="L418" s="9">
        <v>53131</v>
      </c>
      <c r="M418" s="2" t="s">
        <v>484</v>
      </c>
      <c r="N418" s="28"/>
    </row>
    <row r="419" spans="1:14" ht="79.5" hidden="1" customHeight="1" x14ac:dyDescent="0.25">
      <c r="A419" s="127"/>
      <c r="B419" s="39" t="s">
        <v>355</v>
      </c>
      <c r="C419" s="9"/>
      <c r="D419" s="9"/>
      <c r="E419" s="9"/>
      <c r="F419" s="9"/>
      <c r="G419" s="9"/>
      <c r="H419" s="9"/>
      <c r="I419" s="9"/>
      <c r="J419" s="9"/>
      <c r="K419" s="9">
        <v>2800000</v>
      </c>
      <c r="L419" s="9">
        <v>2800000</v>
      </c>
      <c r="M419" s="2" t="s">
        <v>356</v>
      </c>
      <c r="N419" s="28"/>
    </row>
    <row r="420" spans="1:14" ht="71.25" x14ac:dyDescent="0.25">
      <c r="A420" s="32" t="s">
        <v>81</v>
      </c>
      <c r="B420" s="33" t="s">
        <v>35</v>
      </c>
      <c r="C420" s="10">
        <f t="shared" ref="C420:L420" si="149">C421+C435</f>
        <v>462500</v>
      </c>
      <c r="D420" s="10"/>
      <c r="E420" s="10"/>
      <c r="F420" s="10"/>
      <c r="G420" s="10">
        <f t="shared" si="149"/>
        <v>21428522</v>
      </c>
      <c r="H420" s="10">
        <f t="shared" si="149"/>
        <v>0</v>
      </c>
      <c r="I420" s="10"/>
      <c r="J420" s="10"/>
      <c r="K420" s="10">
        <f t="shared" si="149"/>
        <v>6634822</v>
      </c>
      <c r="L420" s="10">
        <f t="shared" si="149"/>
        <v>0</v>
      </c>
      <c r="M420" s="2"/>
      <c r="N420" s="28"/>
    </row>
    <row r="421" spans="1:14" ht="57" x14ac:dyDescent="0.25">
      <c r="A421" s="32" t="s">
        <v>193</v>
      </c>
      <c r="B421" s="33" t="s">
        <v>37</v>
      </c>
      <c r="C421" s="10">
        <f>C422</f>
        <v>0</v>
      </c>
      <c r="D421" s="10"/>
      <c r="E421" s="10"/>
      <c r="F421" s="10"/>
      <c r="G421" s="10">
        <f t="shared" ref="G421:L421" si="150">G422</f>
        <v>4828522</v>
      </c>
      <c r="H421" s="10">
        <f t="shared" si="150"/>
        <v>0</v>
      </c>
      <c r="I421" s="10"/>
      <c r="J421" s="10"/>
      <c r="K421" s="10">
        <f t="shared" si="150"/>
        <v>6634822</v>
      </c>
      <c r="L421" s="10">
        <f t="shared" si="150"/>
        <v>0</v>
      </c>
      <c r="M421" s="2"/>
      <c r="N421" s="28"/>
    </row>
    <row r="422" spans="1:14" ht="33.75" customHeight="1" x14ac:dyDescent="0.25">
      <c r="A422" s="32"/>
      <c r="B422" s="42" t="s">
        <v>33</v>
      </c>
      <c r="C422" s="7">
        <f>SUM(C423:C434)</f>
        <v>0</v>
      </c>
      <c r="D422" s="7"/>
      <c r="E422" s="7"/>
      <c r="F422" s="7"/>
      <c r="G422" s="7">
        <f t="shared" ref="G422:L422" si="151">SUM(G423:G434)</f>
        <v>4828522</v>
      </c>
      <c r="H422" s="7">
        <f t="shared" si="151"/>
        <v>0</v>
      </c>
      <c r="I422" s="7"/>
      <c r="J422" s="7"/>
      <c r="K422" s="7">
        <f t="shared" si="151"/>
        <v>6634822</v>
      </c>
      <c r="L422" s="7">
        <f t="shared" si="151"/>
        <v>0</v>
      </c>
      <c r="M422" s="2"/>
      <c r="N422" s="28"/>
    </row>
    <row r="423" spans="1:14" ht="15.75" hidden="1" customHeight="1" x14ac:dyDescent="0.25">
      <c r="A423" s="32"/>
      <c r="B423" s="44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2"/>
      <c r="N423" s="28"/>
    </row>
    <row r="424" spans="1:14" ht="15.75" hidden="1" customHeight="1" x14ac:dyDescent="0.25">
      <c r="A424" s="32"/>
      <c r="B424" s="104"/>
      <c r="C424" s="9"/>
      <c r="D424" s="9"/>
      <c r="E424" s="9"/>
      <c r="F424" s="9"/>
      <c r="G424" s="9">
        <v>0</v>
      </c>
      <c r="H424" s="9"/>
      <c r="I424" s="9"/>
      <c r="J424" s="9"/>
      <c r="K424" s="9"/>
      <c r="L424" s="9"/>
      <c r="M424" s="2"/>
      <c r="N424" s="28"/>
    </row>
    <row r="425" spans="1:14" ht="15.75" hidden="1" customHeight="1" x14ac:dyDescent="0.25">
      <c r="A425" s="32"/>
      <c r="B425" s="104"/>
      <c r="C425" s="9"/>
      <c r="D425" s="9"/>
      <c r="E425" s="9"/>
      <c r="F425" s="9"/>
      <c r="G425" s="9">
        <v>0</v>
      </c>
      <c r="H425" s="9"/>
      <c r="I425" s="9"/>
      <c r="J425" s="9"/>
      <c r="K425" s="9"/>
      <c r="L425" s="9"/>
      <c r="M425" s="2"/>
      <c r="N425" s="28"/>
    </row>
    <row r="426" spans="1:14" ht="15.75" hidden="1" customHeight="1" x14ac:dyDescent="0.25">
      <c r="A426" s="32"/>
      <c r="B426" s="104"/>
      <c r="C426" s="9"/>
      <c r="D426" s="9"/>
      <c r="E426" s="9"/>
      <c r="F426" s="9"/>
      <c r="G426" s="9">
        <v>0</v>
      </c>
      <c r="H426" s="9"/>
      <c r="I426" s="9"/>
      <c r="J426" s="9"/>
      <c r="K426" s="9"/>
      <c r="L426" s="9"/>
      <c r="M426" s="2"/>
      <c r="N426" s="28"/>
    </row>
    <row r="427" spans="1:14" ht="15.75" hidden="1" customHeight="1" x14ac:dyDescent="0.25">
      <c r="A427" s="32"/>
      <c r="B427" s="104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2"/>
      <c r="N427" s="28"/>
    </row>
    <row r="428" spans="1:14" ht="69" customHeight="1" x14ac:dyDescent="0.25">
      <c r="A428" s="32"/>
      <c r="B428" s="104"/>
      <c r="C428" s="9"/>
      <c r="D428" s="9"/>
      <c r="E428" s="9"/>
      <c r="F428" s="9"/>
      <c r="G428" s="9">
        <v>3300000</v>
      </c>
      <c r="H428" s="9"/>
      <c r="I428" s="9"/>
      <c r="J428" s="9"/>
      <c r="K428" s="9"/>
      <c r="L428" s="9"/>
      <c r="M428" s="2" t="s">
        <v>485</v>
      </c>
      <c r="N428" s="28"/>
    </row>
    <row r="429" spans="1:14" ht="78.75" hidden="1" customHeight="1" x14ac:dyDescent="0.25">
      <c r="A429" s="32"/>
      <c r="B429" s="104"/>
      <c r="C429" s="9"/>
      <c r="D429" s="9"/>
      <c r="E429" s="9"/>
      <c r="F429" s="9"/>
      <c r="G429" s="9"/>
      <c r="H429" s="9"/>
      <c r="I429" s="9"/>
      <c r="J429" s="9"/>
      <c r="K429" s="9">
        <v>6000000</v>
      </c>
      <c r="L429" s="9"/>
      <c r="M429" s="2" t="s">
        <v>510</v>
      </c>
      <c r="N429" s="28"/>
    </row>
    <row r="430" spans="1:14" ht="94.5" hidden="1" customHeight="1" x14ac:dyDescent="0.25">
      <c r="A430" s="32"/>
      <c r="B430" s="104"/>
      <c r="C430" s="9"/>
      <c r="D430" s="9"/>
      <c r="E430" s="9"/>
      <c r="F430" s="9"/>
      <c r="G430" s="9"/>
      <c r="H430" s="9"/>
      <c r="I430" s="9"/>
      <c r="J430" s="9"/>
      <c r="K430" s="9">
        <v>634822</v>
      </c>
      <c r="L430" s="9"/>
      <c r="M430" s="2" t="s">
        <v>614</v>
      </c>
      <c r="N430" s="28"/>
    </row>
    <row r="431" spans="1:14" ht="94.5" x14ac:dyDescent="0.25">
      <c r="A431" s="32"/>
      <c r="B431" s="104"/>
      <c r="C431" s="9"/>
      <c r="D431" s="9"/>
      <c r="E431" s="9"/>
      <c r="F431" s="9"/>
      <c r="G431" s="9">
        <v>1528522</v>
      </c>
      <c r="H431" s="9"/>
      <c r="I431" s="9"/>
      <c r="J431" s="9"/>
      <c r="K431" s="9"/>
      <c r="L431" s="9"/>
      <c r="M431" s="2" t="s">
        <v>646</v>
      </c>
      <c r="N431" s="28"/>
    </row>
    <row r="432" spans="1:14" ht="15.75" hidden="1" customHeight="1" x14ac:dyDescent="0.25">
      <c r="A432" s="32"/>
      <c r="B432" s="104"/>
      <c r="C432" s="9"/>
      <c r="D432" s="9"/>
      <c r="E432" s="9"/>
      <c r="F432" s="9"/>
      <c r="G432" s="9">
        <v>0</v>
      </c>
      <c r="H432" s="9"/>
      <c r="I432" s="9"/>
      <c r="J432" s="9"/>
      <c r="K432" s="9"/>
      <c r="L432" s="9"/>
      <c r="M432" s="2"/>
      <c r="N432" s="28"/>
    </row>
    <row r="433" spans="1:14" ht="15.75" hidden="1" customHeight="1" x14ac:dyDescent="0.25">
      <c r="A433" s="32"/>
      <c r="B433" s="104"/>
      <c r="C433" s="9"/>
      <c r="D433" s="9"/>
      <c r="E433" s="9"/>
      <c r="F433" s="9"/>
      <c r="G433" s="9">
        <v>0</v>
      </c>
      <c r="H433" s="9"/>
      <c r="I433" s="9"/>
      <c r="J433" s="9"/>
      <c r="K433" s="9"/>
      <c r="L433" s="9"/>
      <c r="M433" s="2"/>
      <c r="N433" s="28"/>
    </row>
    <row r="434" spans="1:14" ht="15.75" hidden="1" customHeight="1" x14ac:dyDescent="0.25">
      <c r="A434" s="32"/>
      <c r="B434" s="104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2"/>
      <c r="N434" s="28"/>
    </row>
    <row r="435" spans="1:14" ht="71.25" x14ac:dyDescent="0.25">
      <c r="A435" s="32" t="s">
        <v>194</v>
      </c>
      <c r="B435" s="36" t="s">
        <v>64</v>
      </c>
      <c r="C435" s="10">
        <f>C436</f>
        <v>462500</v>
      </c>
      <c r="D435" s="10"/>
      <c r="E435" s="10"/>
      <c r="F435" s="10"/>
      <c r="G435" s="10">
        <f t="shared" ref="G435:L435" si="152">G436</f>
        <v>16600000</v>
      </c>
      <c r="H435" s="10">
        <f t="shared" si="152"/>
        <v>0</v>
      </c>
      <c r="I435" s="10"/>
      <c r="J435" s="10"/>
      <c r="K435" s="10">
        <f t="shared" si="152"/>
        <v>0</v>
      </c>
      <c r="L435" s="10">
        <f t="shared" si="152"/>
        <v>0</v>
      </c>
      <c r="M435" s="2"/>
      <c r="N435" s="28"/>
    </row>
    <row r="436" spans="1:14" ht="34.5" customHeight="1" x14ac:dyDescent="0.25">
      <c r="A436" s="32"/>
      <c r="B436" s="42" t="s">
        <v>33</v>
      </c>
      <c r="C436" s="7">
        <f>C440+C441</f>
        <v>462500</v>
      </c>
      <c r="D436" s="7">
        <f t="shared" ref="D436:L436" si="153">D440+D441</f>
        <v>0</v>
      </c>
      <c r="E436" s="7">
        <f t="shared" si="153"/>
        <v>0</v>
      </c>
      <c r="F436" s="7">
        <f t="shared" si="153"/>
        <v>0</v>
      </c>
      <c r="G436" s="7">
        <f t="shared" si="153"/>
        <v>16600000</v>
      </c>
      <c r="H436" s="7">
        <f t="shared" si="153"/>
        <v>0</v>
      </c>
      <c r="I436" s="7">
        <f t="shared" si="153"/>
        <v>0</v>
      </c>
      <c r="J436" s="7">
        <f t="shared" si="153"/>
        <v>0</v>
      </c>
      <c r="K436" s="7">
        <f t="shared" si="153"/>
        <v>0</v>
      </c>
      <c r="L436" s="7">
        <f t="shared" si="153"/>
        <v>0</v>
      </c>
      <c r="M436" s="2"/>
      <c r="N436" s="28"/>
    </row>
    <row r="437" spans="1:14" ht="15.75" hidden="1" customHeight="1" x14ac:dyDescent="0.25">
      <c r="A437" s="32"/>
      <c r="B437" s="42"/>
      <c r="C437" s="7"/>
      <c r="D437" s="7"/>
      <c r="E437" s="9"/>
      <c r="F437" s="7"/>
      <c r="G437" s="7">
        <v>0</v>
      </c>
      <c r="H437" s="7"/>
      <c r="I437" s="7"/>
      <c r="J437" s="7"/>
      <c r="K437" s="7"/>
      <c r="L437" s="7"/>
      <c r="M437" s="2"/>
      <c r="N437" s="28"/>
    </row>
    <row r="438" spans="1:14" ht="15.75" hidden="1" customHeight="1" x14ac:dyDescent="0.25">
      <c r="A438" s="32"/>
      <c r="B438" s="42"/>
      <c r="C438" s="7"/>
      <c r="D438" s="7"/>
      <c r="E438" s="9"/>
      <c r="F438" s="7"/>
      <c r="G438" s="7">
        <v>0</v>
      </c>
      <c r="H438" s="7"/>
      <c r="I438" s="7"/>
      <c r="J438" s="7"/>
      <c r="K438" s="7"/>
      <c r="L438" s="7"/>
      <c r="M438" s="2"/>
      <c r="N438" s="28"/>
    </row>
    <row r="439" spans="1:14" ht="15.75" hidden="1" customHeight="1" x14ac:dyDescent="0.25">
      <c r="A439" s="32"/>
      <c r="B439" s="42"/>
      <c r="C439" s="7"/>
      <c r="D439" s="7"/>
      <c r="E439" s="7"/>
      <c r="F439" s="7"/>
      <c r="G439" s="7">
        <v>0</v>
      </c>
      <c r="H439" s="7"/>
      <c r="I439" s="7"/>
      <c r="J439" s="7"/>
      <c r="K439" s="7"/>
      <c r="L439" s="7"/>
      <c r="M439" s="2"/>
      <c r="N439" s="28"/>
    </row>
    <row r="440" spans="1:14" ht="31.5" x14ac:dyDescent="0.25">
      <c r="A440" s="32"/>
      <c r="B440" s="42"/>
      <c r="C440" s="9">
        <v>462500</v>
      </c>
      <c r="D440" s="7"/>
      <c r="E440" s="7"/>
      <c r="F440" s="7"/>
      <c r="G440" s="7"/>
      <c r="H440" s="7"/>
      <c r="I440" s="7"/>
      <c r="J440" s="7"/>
      <c r="K440" s="7"/>
      <c r="L440" s="7"/>
      <c r="M440" s="2" t="s">
        <v>645</v>
      </c>
      <c r="N440" s="28"/>
    </row>
    <row r="441" spans="1:14" ht="63" x14ac:dyDescent="0.25">
      <c r="A441" s="32"/>
      <c r="B441" s="42"/>
      <c r="C441" s="9"/>
      <c r="D441" s="7"/>
      <c r="E441" s="7"/>
      <c r="F441" s="7"/>
      <c r="G441" s="12">
        <v>16600000</v>
      </c>
      <c r="H441" s="23"/>
      <c r="I441" s="23"/>
      <c r="J441" s="23"/>
      <c r="K441" s="23"/>
      <c r="L441" s="23"/>
      <c r="M441" s="2" t="s">
        <v>543</v>
      </c>
      <c r="N441" s="28"/>
    </row>
    <row r="442" spans="1:14" ht="71.25" x14ac:dyDescent="0.25">
      <c r="A442" s="32" t="s">
        <v>195</v>
      </c>
      <c r="B442" s="88" t="s">
        <v>73</v>
      </c>
      <c r="C442" s="10">
        <f t="shared" ref="C442:L442" si="154">C443+C461+C472+C476+C487</f>
        <v>407353618</v>
      </c>
      <c r="D442" s="10"/>
      <c r="E442" s="10"/>
      <c r="F442" s="10"/>
      <c r="G442" s="10">
        <f t="shared" si="154"/>
        <v>130298424</v>
      </c>
      <c r="H442" s="10">
        <f t="shared" si="154"/>
        <v>0</v>
      </c>
      <c r="I442" s="10"/>
      <c r="J442" s="10"/>
      <c r="K442" s="10">
        <f t="shared" si="154"/>
        <v>5754781212</v>
      </c>
      <c r="L442" s="10">
        <f t="shared" si="154"/>
        <v>4977941212</v>
      </c>
      <c r="M442" s="2"/>
      <c r="N442" s="28"/>
    </row>
    <row r="443" spans="1:14" ht="71.25" x14ac:dyDescent="0.25">
      <c r="A443" s="32" t="s">
        <v>196</v>
      </c>
      <c r="B443" s="88" t="s">
        <v>103</v>
      </c>
      <c r="C443" s="10">
        <f>C444+C450</f>
        <v>200000000</v>
      </c>
      <c r="D443" s="10"/>
      <c r="E443" s="10"/>
      <c r="F443" s="10"/>
      <c r="G443" s="10">
        <f t="shared" ref="G443:L443" si="155">G444+G450</f>
        <v>0</v>
      </c>
      <c r="H443" s="10">
        <f t="shared" si="155"/>
        <v>0</v>
      </c>
      <c r="I443" s="10"/>
      <c r="J443" s="10"/>
      <c r="K443" s="10">
        <f t="shared" si="155"/>
        <v>3847986851</v>
      </c>
      <c r="L443" s="10">
        <f t="shared" si="155"/>
        <v>3048757962</v>
      </c>
      <c r="M443" s="2"/>
      <c r="N443" s="28"/>
    </row>
    <row r="444" spans="1:14" ht="30" hidden="1" customHeight="1" x14ac:dyDescent="0.25">
      <c r="A444" s="32"/>
      <c r="B444" s="102" t="s">
        <v>115</v>
      </c>
      <c r="C444" s="7">
        <f>SUM(C445:C449)</f>
        <v>0</v>
      </c>
      <c r="D444" s="7"/>
      <c r="E444" s="7"/>
      <c r="F444" s="7"/>
      <c r="G444" s="7">
        <f t="shared" ref="G444:L444" si="156">SUM(G445:G449)</f>
        <v>0</v>
      </c>
      <c r="H444" s="7">
        <f t="shared" si="156"/>
        <v>0</v>
      </c>
      <c r="I444" s="7"/>
      <c r="J444" s="7"/>
      <c r="K444" s="7">
        <f t="shared" si="156"/>
        <v>0</v>
      </c>
      <c r="L444" s="7">
        <f t="shared" si="156"/>
        <v>3048757962</v>
      </c>
      <c r="M444" s="2"/>
      <c r="N444" s="28"/>
    </row>
    <row r="445" spans="1:14" ht="63" hidden="1" customHeight="1" x14ac:dyDescent="0.25">
      <c r="A445" s="32"/>
      <c r="B445" s="39" t="s">
        <v>411</v>
      </c>
      <c r="C445" s="10"/>
      <c r="D445" s="10"/>
      <c r="E445" s="10"/>
      <c r="F445" s="10"/>
      <c r="G445" s="10"/>
      <c r="H445" s="10"/>
      <c r="I445" s="10"/>
      <c r="J445" s="9"/>
      <c r="K445" s="10"/>
      <c r="L445" s="9">
        <v>2969974564</v>
      </c>
      <c r="M445" s="2" t="s">
        <v>582</v>
      </c>
      <c r="N445" s="28"/>
    </row>
    <row r="446" spans="1:14" ht="47.25" hidden="1" customHeight="1" x14ac:dyDescent="0.25">
      <c r="A446" s="32"/>
      <c r="B446" s="128" t="s">
        <v>410</v>
      </c>
      <c r="C446" s="10"/>
      <c r="D446" s="10"/>
      <c r="E446" s="10"/>
      <c r="F446" s="10"/>
      <c r="G446" s="10"/>
      <c r="H446" s="10"/>
      <c r="I446" s="10"/>
      <c r="J446" s="9"/>
      <c r="K446" s="10"/>
      <c r="L446" s="9">
        <v>7415000</v>
      </c>
      <c r="M446" s="2" t="s">
        <v>583</v>
      </c>
      <c r="N446" s="28"/>
    </row>
    <row r="447" spans="1:14" ht="135" hidden="1" customHeight="1" x14ac:dyDescent="0.25">
      <c r="A447" s="90"/>
      <c r="B447" s="128" t="s">
        <v>412</v>
      </c>
      <c r="C447" s="10"/>
      <c r="D447" s="10"/>
      <c r="E447" s="10"/>
      <c r="F447" s="10"/>
      <c r="G447" s="10"/>
      <c r="H447" s="10"/>
      <c r="I447" s="10"/>
      <c r="J447" s="9"/>
      <c r="K447" s="10"/>
      <c r="L447" s="9">
        <v>71360398</v>
      </c>
      <c r="M447" s="2" t="s">
        <v>584</v>
      </c>
      <c r="N447" s="28"/>
    </row>
    <row r="448" spans="1:14" ht="15.75" hidden="1" customHeight="1" x14ac:dyDescent="0.25">
      <c r="A448" s="90"/>
      <c r="B448" s="39"/>
      <c r="C448" s="9"/>
      <c r="D448" s="10"/>
      <c r="E448" s="10"/>
      <c r="F448" s="10"/>
      <c r="G448" s="10"/>
      <c r="H448" s="10"/>
      <c r="I448" s="10"/>
      <c r="J448" s="9"/>
      <c r="K448" s="10"/>
      <c r="L448" s="9"/>
      <c r="M448" s="2"/>
      <c r="N448" s="28"/>
    </row>
    <row r="449" spans="1:14" ht="47.25" hidden="1" customHeight="1" x14ac:dyDescent="0.25">
      <c r="A449" s="90"/>
      <c r="B449" s="39" t="s">
        <v>414</v>
      </c>
      <c r="C449" s="10"/>
      <c r="D449" s="10"/>
      <c r="E449" s="10"/>
      <c r="F449" s="10"/>
      <c r="G449" s="10"/>
      <c r="H449" s="10"/>
      <c r="I449" s="10"/>
      <c r="J449" s="9"/>
      <c r="K449" s="10"/>
      <c r="L449" s="9">
        <v>8000</v>
      </c>
      <c r="M449" s="2" t="s">
        <v>415</v>
      </c>
      <c r="N449" s="28"/>
    </row>
    <row r="450" spans="1:14" ht="30" x14ac:dyDescent="0.25">
      <c r="A450" s="90"/>
      <c r="B450" s="49" t="s">
        <v>416</v>
      </c>
      <c r="C450" s="7">
        <f>SUM(C451:C460)</f>
        <v>200000000</v>
      </c>
      <c r="D450" s="7"/>
      <c r="E450" s="7"/>
      <c r="F450" s="7"/>
      <c r="G450" s="7">
        <f t="shared" ref="G450:L450" si="157">SUM(G451:G460)</f>
        <v>0</v>
      </c>
      <c r="H450" s="7">
        <f t="shared" si="157"/>
        <v>0</v>
      </c>
      <c r="I450" s="7"/>
      <c r="J450" s="7"/>
      <c r="K450" s="7">
        <f t="shared" si="157"/>
        <v>3847986851</v>
      </c>
      <c r="L450" s="7">
        <f t="shared" si="157"/>
        <v>0</v>
      </c>
      <c r="M450" s="2"/>
      <c r="N450" s="28"/>
    </row>
    <row r="451" spans="1:14" ht="47.25" hidden="1" customHeight="1" x14ac:dyDescent="0.25">
      <c r="A451" s="90"/>
      <c r="B451" s="39" t="s">
        <v>414</v>
      </c>
      <c r="C451" s="7"/>
      <c r="D451" s="7"/>
      <c r="E451" s="7"/>
      <c r="F451" s="7"/>
      <c r="G451" s="7"/>
      <c r="H451" s="7"/>
      <c r="I451" s="9"/>
      <c r="J451" s="7"/>
      <c r="K451" s="9">
        <v>8000</v>
      </c>
      <c r="L451" s="7"/>
      <c r="M451" s="2" t="s">
        <v>585</v>
      </c>
      <c r="N451" s="28"/>
    </row>
    <row r="452" spans="1:14" ht="60" hidden="1" customHeight="1" x14ac:dyDescent="0.25">
      <c r="A452" s="90"/>
      <c r="B452" s="39" t="s">
        <v>411</v>
      </c>
      <c r="C452" s="7"/>
      <c r="D452" s="7"/>
      <c r="E452" s="7"/>
      <c r="F452" s="7"/>
      <c r="G452" s="7"/>
      <c r="H452" s="7"/>
      <c r="I452" s="9"/>
      <c r="J452" s="7"/>
      <c r="K452" s="9">
        <v>2969974564</v>
      </c>
      <c r="L452" s="7"/>
      <c r="M452" s="2" t="s">
        <v>586</v>
      </c>
      <c r="N452" s="28"/>
    </row>
    <row r="453" spans="1:14" ht="47.25" hidden="1" customHeight="1" x14ac:dyDescent="0.25">
      <c r="A453" s="90"/>
      <c r="B453" s="128" t="s">
        <v>410</v>
      </c>
      <c r="C453" s="7"/>
      <c r="D453" s="7"/>
      <c r="E453" s="7"/>
      <c r="F453" s="7"/>
      <c r="G453" s="7"/>
      <c r="H453" s="7"/>
      <c r="I453" s="9"/>
      <c r="J453" s="7"/>
      <c r="K453" s="9">
        <v>7415000</v>
      </c>
      <c r="L453" s="7"/>
      <c r="M453" s="2" t="s">
        <v>587</v>
      </c>
      <c r="N453" s="28"/>
    </row>
    <row r="454" spans="1:14" ht="135" hidden="1" customHeight="1" x14ac:dyDescent="0.25">
      <c r="A454" s="90"/>
      <c r="B454" s="128" t="s">
        <v>412</v>
      </c>
      <c r="C454" s="7"/>
      <c r="D454" s="7"/>
      <c r="E454" s="7"/>
      <c r="F454" s="7"/>
      <c r="G454" s="7"/>
      <c r="H454" s="7"/>
      <c r="I454" s="9"/>
      <c r="J454" s="7"/>
      <c r="K454" s="9">
        <v>71360398</v>
      </c>
      <c r="L454" s="7"/>
      <c r="M454" s="2" t="s">
        <v>588</v>
      </c>
      <c r="N454" s="28"/>
    </row>
    <row r="455" spans="1:14" ht="31.5" x14ac:dyDescent="0.25">
      <c r="A455" s="90"/>
      <c r="B455" s="39" t="s">
        <v>413</v>
      </c>
      <c r="C455" s="9">
        <v>200000000</v>
      </c>
      <c r="D455" s="7"/>
      <c r="E455" s="7"/>
      <c r="F455" s="7"/>
      <c r="G455" s="7"/>
      <c r="H455" s="7"/>
      <c r="I455" s="9"/>
      <c r="J455" s="7"/>
      <c r="K455" s="9">
        <f>576840000+200000000</f>
        <v>776840000</v>
      </c>
      <c r="L455" s="7"/>
      <c r="M455" s="2" t="s">
        <v>647</v>
      </c>
      <c r="N455" s="28"/>
    </row>
    <row r="456" spans="1:14" ht="78.75" hidden="1" customHeight="1" x14ac:dyDescent="0.25">
      <c r="A456" s="90"/>
      <c r="B456" s="39" t="s">
        <v>411</v>
      </c>
      <c r="C456" s="4"/>
      <c r="D456" s="4"/>
      <c r="E456" s="12"/>
      <c r="F456" s="9"/>
      <c r="G456" s="129"/>
      <c r="H456" s="9"/>
      <c r="I456" s="9"/>
      <c r="J456" s="9"/>
      <c r="K456" s="9">
        <v>388889</v>
      </c>
      <c r="L456" s="9"/>
      <c r="M456" s="2" t="s">
        <v>486</v>
      </c>
      <c r="N456" s="28"/>
    </row>
    <row r="457" spans="1:14" ht="60" hidden="1" customHeight="1" x14ac:dyDescent="0.25">
      <c r="A457" s="90"/>
      <c r="B457" s="39" t="s">
        <v>411</v>
      </c>
      <c r="C457" s="7"/>
      <c r="D457" s="7"/>
      <c r="E457" s="12"/>
      <c r="F457" s="9"/>
      <c r="G457" s="9"/>
      <c r="H457" s="7"/>
      <c r="I457" s="7"/>
      <c r="J457" s="108"/>
      <c r="K457" s="7"/>
      <c r="L457" s="108"/>
      <c r="M457" s="2"/>
      <c r="N457" s="28"/>
    </row>
    <row r="458" spans="1:14" ht="30" hidden="1" customHeight="1" x14ac:dyDescent="0.25">
      <c r="A458" s="90"/>
      <c r="B458" s="39" t="s">
        <v>410</v>
      </c>
      <c r="C458" s="7"/>
      <c r="D458" s="7"/>
      <c r="E458" s="12"/>
      <c r="F458" s="9"/>
      <c r="G458" s="129"/>
      <c r="H458" s="7"/>
      <c r="I458" s="7"/>
      <c r="J458" s="108"/>
      <c r="K458" s="7"/>
      <c r="L458" s="108"/>
      <c r="M458" s="2"/>
      <c r="N458" s="28"/>
    </row>
    <row r="459" spans="1:14" ht="78.75" hidden="1" customHeight="1" x14ac:dyDescent="0.25">
      <c r="A459" s="90"/>
      <c r="B459" s="39" t="s">
        <v>413</v>
      </c>
      <c r="C459" s="9"/>
      <c r="D459" s="7"/>
      <c r="E459" s="9"/>
      <c r="F459" s="9"/>
      <c r="G459" s="9"/>
      <c r="H459" s="9"/>
      <c r="I459" s="9"/>
      <c r="J459" s="9"/>
      <c r="K459" s="9">
        <v>22000000</v>
      </c>
      <c r="L459" s="11"/>
      <c r="M459" s="2" t="s">
        <v>487</v>
      </c>
      <c r="N459" s="28"/>
    </row>
    <row r="460" spans="1:14" ht="60" hidden="1" customHeight="1" x14ac:dyDescent="0.25">
      <c r="A460" s="90"/>
      <c r="B460" s="39" t="s">
        <v>411</v>
      </c>
      <c r="C460" s="7"/>
      <c r="D460" s="7"/>
      <c r="E460" s="9"/>
      <c r="F460" s="9"/>
      <c r="G460" s="9"/>
      <c r="H460" s="9"/>
      <c r="I460" s="9"/>
      <c r="J460" s="9"/>
      <c r="K460" s="9"/>
      <c r="L460" s="3"/>
      <c r="M460" s="2"/>
      <c r="N460" s="28"/>
    </row>
    <row r="461" spans="1:14" ht="57" x14ac:dyDescent="0.25">
      <c r="A461" s="32" t="s">
        <v>558</v>
      </c>
      <c r="B461" s="88" t="s">
        <v>124</v>
      </c>
      <c r="C461" s="10">
        <f>C462+C466</f>
        <v>198739318</v>
      </c>
      <c r="D461" s="10"/>
      <c r="E461" s="10"/>
      <c r="F461" s="10"/>
      <c r="G461" s="10">
        <f t="shared" ref="G461:L461" si="158">G462+G466</f>
        <v>0</v>
      </c>
      <c r="H461" s="10">
        <f t="shared" si="158"/>
        <v>0</v>
      </c>
      <c r="I461" s="10"/>
      <c r="J461" s="10"/>
      <c r="K461" s="10">
        <f t="shared" si="158"/>
        <v>548500000</v>
      </c>
      <c r="L461" s="10">
        <f t="shared" si="158"/>
        <v>570888889</v>
      </c>
      <c r="M461" s="2"/>
      <c r="N461" s="28"/>
    </row>
    <row r="462" spans="1:14" ht="30" hidden="1" customHeight="1" x14ac:dyDescent="0.25">
      <c r="A462" s="32"/>
      <c r="B462" s="102" t="s">
        <v>115</v>
      </c>
      <c r="C462" s="7">
        <f t="shared" ref="C462:H462" si="159">SUM(C463:C465)</f>
        <v>0</v>
      </c>
      <c r="D462" s="7"/>
      <c r="E462" s="7"/>
      <c r="F462" s="7"/>
      <c r="G462" s="7">
        <f t="shared" si="159"/>
        <v>0</v>
      </c>
      <c r="H462" s="7">
        <f t="shared" si="159"/>
        <v>0</v>
      </c>
      <c r="I462" s="7"/>
      <c r="J462" s="7"/>
      <c r="K462" s="7">
        <f t="shared" ref="K462:L462" si="160">SUM(K463:K465)</f>
        <v>0</v>
      </c>
      <c r="L462" s="7">
        <f t="shared" si="160"/>
        <v>548500000</v>
      </c>
      <c r="M462" s="2"/>
      <c r="N462" s="28"/>
    </row>
    <row r="463" spans="1:14" ht="60" hidden="1" customHeight="1" x14ac:dyDescent="0.25">
      <c r="A463" s="32"/>
      <c r="B463" s="39" t="s">
        <v>411</v>
      </c>
      <c r="C463" s="10"/>
      <c r="D463" s="10"/>
      <c r="E463" s="10"/>
      <c r="F463" s="10"/>
      <c r="G463" s="10"/>
      <c r="H463" s="10"/>
      <c r="I463" s="10"/>
      <c r="J463" s="9"/>
      <c r="K463" s="10"/>
      <c r="L463" s="9">
        <v>21500000</v>
      </c>
      <c r="M463" s="2" t="s">
        <v>574</v>
      </c>
      <c r="N463" s="28"/>
    </row>
    <row r="464" spans="1:14" ht="31.5" hidden="1" customHeight="1" x14ac:dyDescent="0.25">
      <c r="A464" s="32"/>
      <c r="B464" s="39" t="s">
        <v>413</v>
      </c>
      <c r="C464" s="9"/>
      <c r="D464" s="10"/>
      <c r="E464" s="10"/>
      <c r="F464" s="10"/>
      <c r="G464" s="10"/>
      <c r="H464" s="10"/>
      <c r="I464" s="10"/>
      <c r="J464" s="9"/>
      <c r="K464" s="10"/>
      <c r="L464" s="9">
        <v>487000000</v>
      </c>
      <c r="M464" s="2" t="s">
        <v>536</v>
      </c>
      <c r="N464" s="28"/>
    </row>
    <row r="465" spans="1:14" ht="60" hidden="1" customHeight="1" x14ac:dyDescent="0.25">
      <c r="A465" s="32"/>
      <c r="B465" s="39" t="s">
        <v>408</v>
      </c>
      <c r="C465" s="10"/>
      <c r="D465" s="10"/>
      <c r="E465" s="10"/>
      <c r="F465" s="10"/>
      <c r="G465" s="10"/>
      <c r="H465" s="10"/>
      <c r="I465" s="10"/>
      <c r="J465" s="9"/>
      <c r="K465" s="10"/>
      <c r="L465" s="9">
        <v>40000000</v>
      </c>
      <c r="M465" s="2" t="s">
        <v>575</v>
      </c>
      <c r="N465" s="28"/>
    </row>
    <row r="466" spans="1:14" ht="30" x14ac:dyDescent="0.25">
      <c r="A466" s="32"/>
      <c r="B466" s="49" t="s">
        <v>416</v>
      </c>
      <c r="C466" s="7">
        <f>SUM(C467:C471)</f>
        <v>198739318</v>
      </c>
      <c r="D466" s="7"/>
      <c r="E466" s="7"/>
      <c r="F466" s="7"/>
      <c r="G466" s="7">
        <f t="shared" ref="G466:L466" si="161">SUM(G467:G471)</f>
        <v>0</v>
      </c>
      <c r="H466" s="7">
        <f t="shared" si="161"/>
        <v>0</v>
      </c>
      <c r="I466" s="7"/>
      <c r="J466" s="7"/>
      <c r="K466" s="7">
        <f t="shared" si="161"/>
        <v>548500000</v>
      </c>
      <c r="L466" s="7">
        <f t="shared" si="161"/>
        <v>22388889</v>
      </c>
      <c r="M466" s="2"/>
      <c r="N466" s="28"/>
    </row>
    <row r="467" spans="1:14" ht="15.75" hidden="1" customHeight="1" x14ac:dyDescent="0.25">
      <c r="A467" s="32"/>
      <c r="B467" s="39"/>
      <c r="C467" s="7"/>
      <c r="D467" s="7"/>
      <c r="E467" s="7"/>
      <c r="F467" s="7"/>
      <c r="G467" s="7"/>
      <c r="H467" s="7"/>
      <c r="I467" s="9"/>
      <c r="J467" s="7"/>
      <c r="K467" s="9">
        <v>21500000</v>
      </c>
      <c r="L467" s="7"/>
      <c r="M467" s="2"/>
      <c r="N467" s="28"/>
    </row>
    <row r="468" spans="1:14" ht="15.75" hidden="1" customHeight="1" x14ac:dyDescent="0.25">
      <c r="A468" s="32"/>
      <c r="B468" s="39"/>
      <c r="C468" s="7"/>
      <c r="D468" s="7"/>
      <c r="E468" s="7"/>
      <c r="F468" s="7"/>
      <c r="G468" s="7"/>
      <c r="H468" s="7"/>
      <c r="I468" s="9"/>
      <c r="J468" s="7"/>
      <c r="K468" s="9">
        <v>40000000</v>
      </c>
      <c r="L468" s="7"/>
      <c r="M468" s="2"/>
      <c r="N468" s="28"/>
    </row>
    <row r="469" spans="1:14" ht="31.5" x14ac:dyDescent="0.25">
      <c r="A469" s="32"/>
      <c r="B469" s="39" t="s">
        <v>413</v>
      </c>
      <c r="C469" s="9">
        <f>200000000-1260682</f>
        <v>198739318</v>
      </c>
      <c r="D469" s="7"/>
      <c r="E469" s="7"/>
      <c r="F469" s="7"/>
      <c r="G469" s="7"/>
      <c r="H469" s="7"/>
      <c r="I469" s="12"/>
      <c r="J469" s="7"/>
      <c r="K469" s="12">
        <v>487000000</v>
      </c>
      <c r="L469" s="7"/>
      <c r="M469" s="2" t="s">
        <v>648</v>
      </c>
      <c r="N469" s="28"/>
    </row>
    <row r="470" spans="1:14" ht="15.75" hidden="1" customHeight="1" x14ac:dyDescent="0.25">
      <c r="A470" s="32"/>
      <c r="B470" s="39"/>
      <c r="C470" s="9"/>
      <c r="D470" s="9"/>
      <c r="E470" s="9"/>
      <c r="F470" s="11"/>
      <c r="G470" s="9"/>
      <c r="H470" s="9"/>
      <c r="I470" s="9"/>
      <c r="J470" s="9"/>
      <c r="K470" s="9"/>
      <c r="L470" s="9"/>
      <c r="M470" s="2"/>
      <c r="N470" s="28"/>
    </row>
    <row r="471" spans="1:14" ht="15.75" hidden="1" customHeight="1" x14ac:dyDescent="0.25">
      <c r="A471" s="32"/>
      <c r="B471" s="39"/>
      <c r="C471" s="11"/>
      <c r="D471" s="9"/>
      <c r="E471" s="9"/>
      <c r="F471" s="11"/>
      <c r="G471" s="9"/>
      <c r="H471" s="9"/>
      <c r="I471" s="9"/>
      <c r="J471" s="9"/>
      <c r="K471" s="9"/>
      <c r="L471" s="9">
        <v>22388889</v>
      </c>
      <c r="M471" s="2"/>
      <c r="N471" s="28"/>
    </row>
    <row r="472" spans="1:14" ht="57" hidden="1" customHeight="1" x14ac:dyDescent="0.25">
      <c r="A472" s="32" t="s">
        <v>95</v>
      </c>
      <c r="B472" s="33" t="s">
        <v>96</v>
      </c>
      <c r="C472" s="10">
        <f>C473</f>
        <v>0</v>
      </c>
      <c r="D472" s="10"/>
      <c r="E472" s="10"/>
      <c r="F472" s="10"/>
      <c r="G472" s="10">
        <f t="shared" ref="G472:L472" si="162">G473</f>
        <v>0</v>
      </c>
      <c r="H472" s="10">
        <f t="shared" si="162"/>
        <v>0</v>
      </c>
      <c r="I472" s="10"/>
      <c r="J472" s="10"/>
      <c r="K472" s="10">
        <f t="shared" si="162"/>
        <v>0</v>
      </c>
      <c r="L472" s="10">
        <f t="shared" si="162"/>
        <v>0</v>
      </c>
      <c r="M472" s="2"/>
      <c r="N472" s="28"/>
    </row>
    <row r="473" spans="1:14" ht="45" hidden="1" customHeight="1" x14ac:dyDescent="0.25">
      <c r="A473" s="32"/>
      <c r="B473" s="102" t="s">
        <v>152</v>
      </c>
      <c r="C473" s="7">
        <f>C475+C474</f>
        <v>0</v>
      </c>
      <c r="D473" s="7"/>
      <c r="E473" s="7"/>
      <c r="F473" s="7"/>
      <c r="G473" s="7">
        <f t="shared" ref="G473:H473" si="163">G475+G474</f>
        <v>0</v>
      </c>
      <c r="H473" s="7">
        <f t="shared" si="163"/>
        <v>0</v>
      </c>
      <c r="I473" s="7"/>
      <c r="J473" s="7"/>
      <c r="K473" s="7">
        <f t="shared" ref="K473:L473" si="164">K475+K474</f>
        <v>0</v>
      </c>
      <c r="L473" s="7">
        <f t="shared" si="164"/>
        <v>0</v>
      </c>
      <c r="M473" s="2"/>
      <c r="N473" s="28"/>
    </row>
    <row r="474" spans="1:14" ht="15.75" hidden="1" customHeight="1" x14ac:dyDescent="0.25">
      <c r="A474" s="32"/>
      <c r="B474" s="39"/>
      <c r="C474" s="7"/>
      <c r="D474" s="7"/>
      <c r="E474" s="7"/>
      <c r="F474" s="7"/>
      <c r="G474" s="7"/>
      <c r="H474" s="7"/>
      <c r="I474" s="7"/>
      <c r="J474" s="9"/>
      <c r="K474" s="7"/>
      <c r="L474" s="9"/>
      <c r="M474" s="2"/>
      <c r="N474" s="28"/>
    </row>
    <row r="475" spans="1:14" ht="15.75" hidden="1" customHeight="1" x14ac:dyDescent="0.25">
      <c r="A475" s="32"/>
      <c r="B475" s="39"/>
      <c r="C475" s="10"/>
      <c r="D475" s="10"/>
      <c r="E475" s="9"/>
      <c r="F475" s="10"/>
      <c r="G475" s="9"/>
      <c r="H475" s="10"/>
      <c r="I475" s="10"/>
      <c r="J475" s="10"/>
      <c r="K475" s="10"/>
      <c r="L475" s="10"/>
      <c r="M475" s="2"/>
      <c r="N475" s="28"/>
    </row>
    <row r="476" spans="1:14" ht="57" x14ac:dyDescent="0.25">
      <c r="A476" s="32" t="s">
        <v>197</v>
      </c>
      <c r="B476" s="88" t="s">
        <v>122</v>
      </c>
      <c r="C476" s="10">
        <f t="shared" ref="C476:L476" si="165">C477</f>
        <v>0</v>
      </c>
      <c r="D476" s="10"/>
      <c r="E476" s="10"/>
      <c r="F476" s="10"/>
      <c r="G476" s="10">
        <f>G477</f>
        <v>130298424</v>
      </c>
      <c r="H476" s="10">
        <f t="shared" si="165"/>
        <v>0</v>
      </c>
      <c r="I476" s="10"/>
      <c r="J476" s="10"/>
      <c r="K476" s="10">
        <f t="shared" si="165"/>
        <v>0</v>
      </c>
      <c r="L476" s="10">
        <f t="shared" si="165"/>
        <v>0</v>
      </c>
      <c r="M476" s="2"/>
      <c r="N476" s="28"/>
    </row>
    <row r="477" spans="1:14" ht="30" x14ac:dyDescent="0.25">
      <c r="A477" s="32"/>
      <c r="B477" s="102" t="s">
        <v>115</v>
      </c>
      <c r="C477" s="7">
        <f>C478+C479+C480+C481+C482+C485+C486</f>
        <v>0</v>
      </c>
      <c r="D477" s="7"/>
      <c r="E477" s="7"/>
      <c r="F477" s="7"/>
      <c r="G477" s="7">
        <f t="shared" ref="G477:L477" si="166">G478+G479+G480+G481+G482+G485+G486</f>
        <v>130298424</v>
      </c>
      <c r="H477" s="7">
        <f t="shared" si="166"/>
        <v>0</v>
      </c>
      <c r="I477" s="7"/>
      <c r="J477" s="7"/>
      <c r="K477" s="7">
        <f t="shared" si="166"/>
        <v>0</v>
      </c>
      <c r="L477" s="7">
        <f t="shared" si="166"/>
        <v>0</v>
      </c>
      <c r="M477" s="2"/>
      <c r="N477" s="28"/>
    </row>
    <row r="478" spans="1:14" ht="141.75" customHeight="1" x14ac:dyDescent="0.25">
      <c r="A478" s="32"/>
      <c r="B478" s="43" t="s">
        <v>271</v>
      </c>
      <c r="C478" s="7"/>
      <c r="D478" s="7"/>
      <c r="E478" s="9"/>
      <c r="F478" s="7"/>
      <c r="G478" s="9">
        <v>6000000</v>
      </c>
      <c r="H478" s="7"/>
      <c r="I478" s="7"/>
      <c r="J478" s="7"/>
      <c r="K478" s="7"/>
      <c r="L478" s="7"/>
      <c r="M478" s="2" t="s">
        <v>488</v>
      </c>
      <c r="N478" s="28"/>
    </row>
    <row r="479" spans="1:14" ht="90" x14ac:dyDescent="0.25">
      <c r="A479" s="32"/>
      <c r="B479" s="44" t="s">
        <v>272</v>
      </c>
      <c r="C479" s="7"/>
      <c r="D479" s="7"/>
      <c r="E479" s="9"/>
      <c r="F479" s="9"/>
      <c r="G479" s="9">
        <v>77000000</v>
      </c>
      <c r="H479" s="9"/>
      <c r="I479" s="7"/>
      <c r="J479" s="7"/>
      <c r="K479" s="7"/>
      <c r="L479" s="7"/>
      <c r="M479" s="2" t="s">
        <v>488</v>
      </c>
      <c r="N479" s="28"/>
    </row>
    <row r="480" spans="1:14" ht="45" x14ac:dyDescent="0.25">
      <c r="A480" s="32"/>
      <c r="B480" s="45" t="s">
        <v>273</v>
      </c>
      <c r="C480" s="9"/>
      <c r="D480" s="11"/>
      <c r="E480" s="9"/>
      <c r="F480" s="9"/>
      <c r="G480" s="9">
        <v>239000</v>
      </c>
      <c r="H480" s="9"/>
      <c r="I480" s="9"/>
      <c r="J480" s="9"/>
      <c r="K480" s="9"/>
      <c r="L480" s="9"/>
      <c r="M480" s="2" t="s">
        <v>649</v>
      </c>
      <c r="N480" s="28"/>
    </row>
    <row r="481" spans="1:14" ht="169.5" customHeight="1" x14ac:dyDescent="0.25">
      <c r="A481" s="32"/>
      <c r="B481" s="46" t="s">
        <v>274</v>
      </c>
      <c r="C481" s="10"/>
      <c r="D481" s="10"/>
      <c r="E481" s="9"/>
      <c r="F481" s="10"/>
      <c r="G481" s="9">
        <v>1100000</v>
      </c>
      <c r="H481" s="10"/>
      <c r="I481" s="10"/>
      <c r="J481" s="10"/>
      <c r="K481" s="10"/>
      <c r="L481" s="10"/>
      <c r="M481" s="2" t="s">
        <v>488</v>
      </c>
      <c r="N481" s="28"/>
    </row>
    <row r="482" spans="1:14" ht="105" x14ac:dyDescent="0.25">
      <c r="A482" s="32"/>
      <c r="B482" s="44" t="s">
        <v>275</v>
      </c>
      <c r="C482" s="9">
        <f t="shared" ref="C482" si="167">C483+C484</f>
        <v>0</v>
      </c>
      <c r="D482" s="9"/>
      <c r="E482" s="9"/>
      <c r="F482" s="9"/>
      <c r="G482" s="9">
        <f t="shared" ref="G482" si="168">G483+G484</f>
        <v>45000000</v>
      </c>
      <c r="H482" s="9"/>
      <c r="I482" s="9"/>
      <c r="J482" s="9"/>
      <c r="K482" s="9"/>
      <c r="L482" s="9"/>
      <c r="M482" s="2"/>
      <c r="N482" s="28"/>
    </row>
    <row r="483" spans="1:14" ht="15.75" hidden="1" customHeight="1" x14ac:dyDescent="0.25">
      <c r="A483" s="32"/>
      <c r="B483" s="47" t="s">
        <v>276</v>
      </c>
      <c r="C483" s="9"/>
      <c r="D483" s="9"/>
      <c r="E483" s="7"/>
      <c r="F483" s="7"/>
      <c r="G483" s="7"/>
      <c r="H483" s="9"/>
      <c r="I483" s="9"/>
      <c r="J483" s="9"/>
      <c r="K483" s="9"/>
      <c r="L483" s="9"/>
      <c r="M483" s="2"/>
      <c r="N483" s="28"/>
    </row>
    <row r="484" spans="1:14" ht="31.5" x14ac:dyDescent="0.25">
      <c r="A484" s="32"/>
      <c r="B484" s="37" t="s">
        <v>277</v>
      </c>
      <c r="C484" s="9"/>
      <c r="D484" s="9"/>
      <c r="E484" s="7"/>
      <c r="F484" s="7"/>
      <c r="G484" s="7">
        <v>45000000</v>
      </c>
      <c r="H484" s="9"/>
      <c r="I484" s="9"/>
      <c r="J484" s="9"/>
      <c r="K484" s="9"/>
      <c r="L484" s="9"/>
      <c r="M484" s="2" t="s">
        <v>488</v>
      </c>
      <c r="N484" s="28"/>
    </row>
    <row r="485" spans="1:14" ht="45" hidden="1" customHeight="1" x14ac:dyDescent="0.25">
      <c r="A485" s="32"/>
      <c r="B485" s="45" t="s">
        <v>278</v>
      </c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2"/>
      <c r="N485" s="28"/>
    </row>
    <row r="486" spans="1:14" ht="60" x14ac:dyDescent="0.25">
      <c r="A486" s="32"/>
      <c r="B486" s="45" t="s">
        <v>279</v>
      </c>
      <c r="C486" s="9"/>
      <c r="D486" s="9"/>
      <c r="E486" s="9"/>
      <c r="F486" s="9"/>
      <c r="G486" s="9">
        <v>959424</v>
      </c>
      <c r="H486" s="9"/>
      <c r="I486" s="9"/>
      <c r="J486" s="9"/>
      <c r="K486" s="9"/>
      <c r="L486" s="9"/>
      <c r="M486" s="2" t="s">
        <v>533</v>
      </c>
      <c r="N486" s="28"/>
    </row>
    <row r="487" spans="1:14" s="130" customFormat="1" ht="85.5" x14ac:dyDescent="0.25">
      <c r="A487" s="32" t="s">
        <v>559</v>
      </c>
      <c r="B487" s="33" t="s">
        <v>153</v>
      </c>
      <c r="C487" s="10">
        <f>C488+C491</f>
        <v>8614300</v>
      </c>
      <c r="D487" s="10"/>
      <c r="E487" s="10"/>
      <c r="F487" s="10"/>
      <c r="G487" s="10">
        <f t="shared" ref="G487:L487" si="169">G488+G491</f>
        <v>0</v>
      </c>
      <c r="H487" s="10">
        <f t="shared" si="169"/>
        <v>0</v>
      </c>
      <c r="I487" s="10"/>
      <c r="J487" s="10"/>
      <c r="K487" s="10">
        <f t="shared" si="169"/>
        <v>1358294361</v>
      </c>
      <c r="L487" s="10">
        <f t="shared" si="169"/>
        <v>1358294361</v>
      </c>
      <c r="M487" s="2"/>
      <c r="N487" s="28"/>
    </row>
    <row r="488" spans="1:14" ht="30" hidden="1" customHeight="1" x14ac:dyDescent="0.25">
      <c r="A488" s="32"/>
      <c r="B488" s="102" t="s">
        <v>115</v>
      </c>
      <c r="C488" s="7">
        <f>C489+C490</f>
        <v>0</v>
      </c>
      <c r="D488" s="7"/>
      <c r="E488" s="7"/>
      <c r="F488" s="7"/>
      <c r="G488" s="7">
        <f t="shared" ref="G488:L488" si="170">G489+G490</f>
        <v>0</v>
      </c>
      <c r="H488" s="7">
        <f t="shared" si="170"/>
        <v>0</v>
      </c>
      <c r="I488" s="7"/>
      <c r="J488" s="7"/>
      <c r="K488" s="7">
        <f t="shared" si="170"/>
        <v>0</v>
      </c>
      <c r="L488" s="7">
        <f t="shared" si="170"/>
        <v>1348614300</v>
      </c>
      <c r="M488" s="2"/>
      <c r="N488" s="28"/>
    </row>
    <row r="489" spans="1:14" ht="78.75" hidden="1" customHeight="1" x14ac:dyDescent="0.25">
      <c r="A489" s="32"/>
      <c r="B489" s="39" t="s">
        <v>413</v>
      </c>
      <c r="C489" s="10"/>
      <c r="D489" s="10"/>
      <c r="E489" s="10"/>
      <c r="F489" s="10"/>
      <c r="G489" s="10"/>
      <c r="H489" s="10"/>
      <c r="I489" s="10"/>
      <c r="J489" s="9"/>
      <c r="K489" s="10"/>
      <c r="L489" s="9">
        <v>930000000</v>
      </c>
      <c r="M489" s="2" t="s">
        <v>589</v>
      </c>
      <c r="N489" s="28"/>
    </row>
    <row r="490" spans="1:14" ht="60" hidden="1" customHeight="1" x14ac:dyDescent="0.25">
      <c r="A490" s="32"/>
      <c r="B490" s="39" t="s">
        <v>411</v>
      </c>
      <c r="C490" s="9"/>
      <c r="D490" s="10"/>
      <c r="E490" s="10"/>
      <c r="F490" s="10"/>
      <c r="G490" s="10"/>
      <c r="H490" s="10"/>
      <c r="I490" s="10"/>
      <c r="J490" s="9"/>
      <c r="K490" s="10"/>
      <c r="L490" s="9">
        <v>418614300</v>
      </c>
      <c r="M490" s="2" t="s">
        <v>545</v>
      </c>
      <c r="N490" s="28"/>
    </row>
    <row r="491" spans="1:14" ht="30" x14ac:dyDescent="0.25">
      <c r="A491" s="32"/>
      <c r="B491" s="49" t="s">
        <v>416</v>
      </c>
      <c r="C491" s="7">
        <f>SUM(C492:C495)</f>
        <v>8614300</v>
      </c>
      <c r="D491" s="7"/>
      <c r="E491" s="7"/>
      <c r="F491" s="7"/>
      <c r="G491" s="7">
        <f t="shared" ref="G491:L491" si="171">SUM(G492:G495)</f>
        <v>0</v>
      </c>
      <c r="H491" s="7">
        <f t="shared" si="171"/>
        <v>0</v>
      </c>
      <c r="I491" s="7"/>
      <c r="J491" s="7"/>
      <c r="K491" s="7">
        <f t="shared" si="171"/>
        <v>1358294361</v>
      </c>
      <c r="L491" s="7">
        <f t="shared" si="171"/>
        <v>9680061</v>
      </c>
      <c r="M491" s="2"/>
      <c r="N491" s="28"/>
    </row>
    <row r="492" spans="1:14" ht="60" hidden="1" customHeight="1" x14ac:dyDescent="0.25">
      <c r="A492" s="32"/>
      <c r="B492" s="39" t="s">
        <v>411</v>
      </c>
      <c r="C492" s="7"/>
      <c r="D492" s="7"/>
      <c r="E492" s="7"/>
      <c r="F492" s="7"/>
      <c r="G492" s="7"/>
      <c r="H492" s="7"/>
      <c r="I492" s="9"/>
      <c r="J492" s="7"/>
      <c r="K492" s="9">
        <v>418614300</v>
      </c>
      <c r="L492" s="7"/>
      <c r="M492" s="2"/>
      <c r="N492" s="28"/>
    </row>
    <row r="493" spans="1:14" ht="68.25" customHeight="1" x14ac:dyDescent="0.25">
      <c r="A493" s="32"/>
      <c r="B493" s="39" t="s">
        <v>413</v>
      </c>
      <c r="C493" s="7">
        <v>8614300</v>
      </c>
      <c r="D493" s="7"/>
      <c r="E493" s="7"/>
      <c r="F493" s="7"/>
      <c r="G493" s="7"/>
      <c r="H493" s="7"/>
      <c r="I493" s="9"/>
      <c r="J493" s="7"/>
      <c r="K493" s="9">
        <v>930000000</v>
      </c>
      <c r="L493" s="7"/>
      <c r="M493" s="2" t="s">
        <v>650</v>
      </c>
      <c r="N493" s="28"/>
    </row>
    <row r="494" spans="1:14" ht="60" hidden="1" customHeight="1" x14ac:dyDescent="0.25">
      <c r="A494" s="32"/>
      <c r="B494" s="39" t="s">
        <v>411</v>
      </c>
      <c r="C494" s="11"/>
      <c r="D494" s="9"/>
      <c r="E494" s="9"/>
      <c r="F494" s="9"/>
      <c r="G494" s="9"/>
      <c r="H494" s="9"/>
      <c r="I494" s="9"/>
      <c r="J494" s="9"/>
      <c r="K494" s="9"/>
      <c r="L494" s="9">
        <v>9680061</v>
      </c>
      <c r="M494" s="2"/>
      <c r="N494" s="28"/>
    </row>
    <row r="495" spans="1:14" ht="15.75" hidden="1" customHeight="1" x14ac:dyDescent="0.25">
      <c r="A495" s="32"/>
      <c r="B495" s="39" t="s">
        <v>413</v>
      </c>
      <c r="C495" s="9"/>
      <c r="D495" s="9"/>
      <c r="E495" s="9"/>
      <c r="F495" s="9"/>
      <c r="G495" s="9"/>
      <c r="H495" s="9"/>
      <c r="I495" s="9"/>
      <c r="J495" s="9"/>
      <c r="K495" s="9">
        <f>8614300+1065761</f>
        <v>9680061</v>
      </c>
      <c r="L495" s="9"/>
      <c r="M495" s="2"/>
      <c r="N495" s="28"/>
    </row>
    <row r="496" spans="1:14" ht="57" x14ac:dyDescent="0.25">
      <c r="A496" s="32" t="s">
        <v>4</v>
      </c>
      <c r="B496" s="88" t="s">
        <v>5</v>
      </c>
      <c r="C496" s="10">
        <f t="shared" ref="C496:L496" si="172">C497+C527+C530+C507+C510+C513+C524+C516+C519+C543</f>
        <v>-150973000</v>
      </c>
      <c r="D496" s="10"/>
      <c r="E496" s="10"/>
      <c r="F496" s="10"/>
      <c r="G496" s="10">
        <f t="shared" si="172"/>
        <v>11938332</v>
      </c>
      <c r="H496" s="10">
        <f t="shared" si="172"/>
        <v>0</v>
      </c>
      <c r="I496" s="10"/>
      <c r="J496" s="10"/>
      <c r="K496" s="10">
        <f t="shared" si="172"/>
        <v>261174925</v>
      </c>
      <c r="L496" s="10">
        <f t="shared" si="172"/>
        <v>261174925</v>
      </c>
      <c r="M496" s="2"/>
      <c r="N496" s="28"/>
    </row>
    <row r="497" spans="1:14" ht="71.25" x14ac:dyDescent="0.25">
      <c r="A497" s="32" t="s">
        <v>6</v>
      </c>
      <c r="B497" s="33" t="s">
        <v>7</v>
      </c>
      <c r="C497" s="10">
        <f>C498</f>
        <v>-150973000</v>
      </c>
      <c r="D497" s="10"/>
      <c r="E497" s="10"/>
      <c r="F497" s="10"/>
      <c r="G497" s="10">
        <f t="shared" ref="G497:L497" si="173">G498</f>
        <v>0</v>
      </c>
      <c r="H497" s="10">
        <f t="shared" si="173"/>
        <v>0</v>
      </c>
      <c r="I497" s="10"/>
      <c r="J497" s="10"/>
      <c r="K497" s="10">
        <f t="shared" si="173"/>
        <v>208845258</v>
      </c>
      <c r="L497" s="10">
        <f t="shared" si="173"/>
        <v>207800866</v>
      </c>
      <c r="M497" s="2"/>
      <c r="N497" s="28"/>
    </row>
    <row r="498" spans="1:14" ht="64.5" customHeight="1" x14ac:dyDescent="0.25">
      <c r="A498" s="131"/>
      <c r="B498" s="37" t="s">
        <v>117</v>
      </c>
      <c r="C498" s="7">
        <f>SUM(C499:C506)</f>
        <v>-150973000</v>
      </c>
      <c r="D498" s="7"/>
      <c r="E498" s="7"/>
      <c r="F498" s="7"/>
      <c r="G498" s="7">
        <f t="shared" ref="G498:H498" si="174">SUM(G499:G506)</f>
        <v>0</v>
      </c>
      <c r="H498" s="7">
        <f t="shared" si="174"/>
        <v>0</v>
      </c>
      <c r="I498" s="7"/>
      <c r="J498" s="7"/>
      <c r="K498" s="7">
        <f>SUM(K499:K506)</f>
        <v>208845258</v>
      </c>
      <c r="L498" s="7">
        <f t="shared" ref="L498" si="175">SUM(L499:L506)</f>
        <v>207800866</v>
      </c>
      <c r="M498" s="2"/>
      <c r="N498" s="28"/>
    </row>
    <row r="499" spans="1:14" ht="47.25" hidden="1" customHeight="1" x14ac:dyDescent="0.25">
      <c r="A499" s="131"/>
      <c r="B499" s="52" t="s">
        <v>234</v>
      </c>
      <c r="C499" s="9"/>
      <c r="D499" s="9"/>
      <c r="E499" s="9"/>
      <c r="F499" s="9"/>
      <c r="G499" s="9"/>
      <c r="H499" s="9"/>
      <c r="I499" s="9"/>
      <c r="J499" s="9"/>
      <c r="K499" s="9"/>
      <c r="L499" s="9">
        <v>56156609</v>
      </c>
      <c r="M499" s="2" t="s">
        <v>489</v>
      </c>
      <c r="N499" s="28"/>
    </row>
    <row r="500" spans="1:14" ht="75" hidden="1" customHeight="1" x14ac:dyDescent="0.25">
      <c r="A500" s="131"/>
      <c r="B500" s="132" t="s">
        <v>235</v>
      </c>
      <c r="C500" s="9"/>
      <c r="D500" s="9"/>
      <c r="E500" s="9"/>
      <c r="F500" s="9"/>
      <c r="G500" s="9"/>
      <c r="H500" s="9"/>
      <c r="I500" s="9"/>
      <c r="J500" s="9"/>
      <c r="K500" s="9">
        <v>57201001</v>
      </c>
      <c r="L500" s="9"/>
      <c r="M500" s="2" t="s">
        <v>490</v>
      </c>
      <c r="N500" s="28"/>
    </row>
    <row r="501" spans="1:14" ht="75" hidden="1" customHeight="1" x14ac:dyDescent="0.25">
      <c r="A501" s="131"/>
      <c r="B501" s="128" t="s">
        <v>236</v>
      </c>
      <c r="C501" s="9"/>
      <c r="D501" s="7"/>
      <c r="E501" s="9"/>
      <c r="F501" s="9"/>
      <c r="G501" s="9"/>
      <c r="H501" s="9"/>
      <c r="I501" s="9"/>
      <c r="J501" s="9"/>
      <c r="K501" s="9">
        <v>7000</v>
      </c>
      <c r="L501" s="9">
        <v>7000</v>
      </c>
      <c r="M501" s="2" t="s">
        <v>525</v>
      </c>
      <c r="N501" s="28"/>
    </row>
    <row r="502" spans="1:14" ht="52.5" customHeight="1" x14ac:dyDescent="0.25">
      <c r="A502" s="131"/>
      <c r="B502" s="161" t="s">
        <v>237</v>
      </c>
      <c r="C502" s="9">
        <f>-522222800+371249800</f>
        <v>-150973000</v>
      </c>
      <c r="D502" s="9"/>
      <c r="E502" s="9"/>
      <c r="F502" s="9"/>
      <c r="G502" s="9"/>
      <c r="H502" s="9"/>
      <c r="I502" s="9"/>
      <c r="J502" s="9"/>
      <c r="K502" s="9"/>
      <c r="L502" s="9"/>
      <c r="M502" s="2" t="s">
        <v>491</v>
      </c>
      <c r="N502" s="28"/>
    </row>
    <row r="503" spans="1:14" ht="78.75" hidden="1" customHeight="1" x14ac:dyDescent="0.25">
      <c r="A503" s="131"/>
      <c r="B503" s="161"/>
      <c r="C503" s="9"/>
      <c r="D503" s="9"/>
      <c r="E503" s="9"/>
      <c r="F503" s="9"/>
      <c r="G503" s="9"/>
      <c r="H503" s="9"/>
      <c r="I503" s="9"/>
      <c r="J503" s="9"/>
      <c r="K503" s="9"/>
      <c r="L503" s="9">
        <v>151637257</v>
      </c>
      <c r="M503" s="2" t="s">
        <v>492</v>
      </c>
      <c r="N503" s="28"/>
    </row>
    <row r="504" spans="1:14" ht="15.75" hidden="1" x14ac:dyDescent="0.25">
      <c r="A504" s="131"/>
      <c r="B504" s="162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2"/>
      <c r="N504" s="28"/>
    </row>
    <row r="505" spans="1:14" ht="63" hidden="1" customHeight="1" x14ac:dyDescent="0.25">
      <c r="A505" s="131"/>
      <c r="B505" s="162"/>
      <c r="C505" s="9"/>
      <c r="D505" s="9"/>
      <c r="E505" s="9"/>
      <c r="F505" s="9"/>
      <c r="G505" s="9"/>
      <c r="H505" s="9"/>
      <c r="I505" s="9"/>
      <c r="J505" s="9"/>
      <c r="K505" s="9">
        <v>151637257</v>
      </c>
      <c r="L505" s="11"/>
      <c r="M505" s="2" t="s">
        <v>493</v>
      </c>
      <c r="N505" s="28"/>
    </row>
    <row r="506" spans="1:14" ht="15.75" hidden="1" customHeight="1" x14ac:dyDescent="0.25">
      <c r="A506" s="131"/>
      <c r="B506" s="113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2"/>
      <c r="N506" s="28"/>
    </row>
    <row r="507" spans="1:14" ht="57" hidden="1" customHeight="1" x14ac:dyDescent="0.25">
      <c r="A507" s="32" t="s">
        <v>98</v>
      </c>
      <c r="B507" s="101" t="s">
        <v>99</v>
      </c>
      <c r="C507" s="10">
        <f t="shared" ref="C507:L508" si="176">C508</f>
        <v>0</v>
      </c>
      <c r="D507" s="10"/>
      <c r="E507" s="10"/>
      <c r="F507" s="10"/>
      <c r="G507" s="10">
        <f t="shared" si="176"/>
        <v>0</v>
      </c>
      <c r="H507" s="10">
        <f t="shared" si="176"/>
        <v>0</v>
      </c>
      <c r="I507" s="10"/>
      <c r="J507" s="10"/>
      <c r="K507" s="10">
        <f t="shared" si="176"/>
        <v>0</v>
      </c>
      <c r="L507" s="10">
        <f t="shared" si="176"/>
        <v>0</v>
      </c>
      <c r="M507" s="2"/>
      <c r="N507" s="28"/>
    </row>
    <row r="508" spans="1:14" ht="75" hidden="1" customHeight="1" x14ac:dyDescent="0.25">
      <c r="A508" s="32"/>
      <c r="B508" s="37" t="s">
        <v>117</v>
      </c>
      <c r="C508" s="9">
        <f>C509</f>
        <v>0</v>
      </c>
      <c r="D508" s="9"/>
      <c r="E508" s="9"/>
      <c r="F508" s="9"/>
      <c r="G508" s="9">
        <f t="shared" si="176"/>
        <v>0</v>
      </c>
      <c r="H508" s="9">
        <f t="shared" si="176"/>
        <v>0</v>
      </c>
      <c r="I508" s="9"/>
      <c r="J508" s="9"/>
      <c r="K508" s="9">
        <f t="shared" si="176"/>
        <v>0</v>
      </c>
      <c r="L508" s="9">
        <f t="shared" si="176"/>
        <v>0</v>
      </c>
      <c r="M508" s="2"/>
      <c r="N508" s="28"/>
    </row>
    <row r="509" spans="1:14" ht="15.75" hidden="1" customHeight="1" x14ac:dyDescent="0.25">
      <c r="A509" s="32"/>
      <c r="B509" s="52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2"/>
      <c r="N509" s="28"/>
    </row>
    <row r="510" spans="1:14" ht="71.25" hidden="1" customHeight="1" x14ac:dyDescent="0.25">
      <c r="A510" s="32" t="s">
        <v>100</v>
      </c>
      <c r="B510" s="101" t="s">
        <v>101</v>
      </c>
      <c r="C510" s="10">
        <f t="shared" ref="C510:L511" si="177">C511</f>
        <v>0</v>
      </c>
      <c r="D510" s="10"/>
      <c r="E510" s="10"/>
      <c r="F510" s="10"/>
      <c r="G510" s="10">
        <f t="shared" si="177"/>
        <v>0</v>
      </c>
      <c r="H510" s="10">
        <f t="shared" si="177"/>
        <v>0</v>
      </c>
      <c r="I510" s="10"/>
      <c r="J510" s="10"/>
      <c r="K510" s="10">
        <f t="shared" si="177"/>
        <v>0</v>
      </c>
      <c r="L510" s="10">
        <f t="shared" si="177"/>
        <v>0</v>
      </c>
      <c r="M510" s="2"/>
      <c r="N510" s="28"/>
    </row>
    <row r="511" spans="1:14" ht="75" hidden="1" customHeight="1" x14ac:dyDescent="0.25">
      <c r="A511" s="32"/>
      <c r="B511" s="37" t="s">
        <v>117</v>
      </c>
      <c r="C511" s="7">
        <f>C512</f>
        <v>0</v>
      </c>
      <c r="D511" s="7"/>
      <c r="E511" s="7"/>
      <c r="F511" s="7"/>
      <c r="G511" s="7">
        <f t="shared" si="177"/>
        <v>0</v>
      </c>
      <c r="H511" s="7">
        <f t="shared" si="177"/>
        <v>0</v>
      </c>
      <c r="I511" s="7"/>
      <c r="J511" s="7"/>
      <c r="K511" s="7">
        <f t="shared" si="177"/>
        <v>0</v>
      </c>
      <c r="L511" s="7">
        <f t="shared" si="177"/>
        <v>0</v>
      </c>
      <c r="M511" s="2"/>
      <c r="N511" s="28"/>
    </row>
    <row r="512" spans="1:14" ht="15.75" hidden="1" customHeight="1" x14ac:dyDescent="0.25">
      <c r="A512" s="32"/>
      <c r="B512" s="52"/>
      <c r="C512" s="9"/>
      <c r="D512" s="9"/>
      <c r="E512" s="9"/>
      <c r="F512" s="9"/>
      <c r="G512" s="9"/>
      <c r="H512" s="9"/>
      <c r="I512" s="9"/>
      <c r="J512" s="11"/>
      <c r="K512" s="9"/>
      <c r="L512" s="11"/>
      <c r="M512" s="2"/>
      <c r="N512" s="28"/>
    </row>
    <row r="513" spans="1:14" ht="85.5" hidden="1" customHeight="1" x14ac:dyDescent="0.25">
      <c r="A513" s="32" t="s">
        <v>102</v>
      </c>
      <c r="B513" s="101" t="s">
        <v>230</v>
      </c>
      <c r="C513" s="10">
        <f>C515</f>
        <v>0</v>
      </c>
      <c r="D513" s="10"/>
      <c r="E513" s="10"/>
      <c r="F513" s="10"/>
      <c r="G513" s="10">
        <f t="shared" ref="G513:H513" si="178">G515</f>
        <v>0</v>
      </c>
      <c r="H513" s="10">
        <f t="shared" si="178"/>
        <v>0</v>
      </c>
      <c r="I513" s="10"/>
      <c r="J513" s="10"/>
      <c r="K513" s="10">
        <f t="shared" ref="K513:L513" si="179">K515</f>
        <v>0</v>
      </c>
      <c r="L513" s="10">
        <f t="shared" si="179"/>
        <v>0</v>
      </c>
      <c r="M513" s="2"/>
      <c r="N513" s="28"/>
    </row>
    <row r="514" spans="1:14" ht="75" hidden="1" customHeight="1" x14ac:dyDescent="0.25">
      <c r="A514" s="32"/>
      <c r="B514" s="37" t="s">
        <v>117</v>
      </c>
      <c r="C514" s="7">
        <f>C515</f>
        <v>0</v>
      </c>
      <c r="D514" s="7"/>
      <c r="E514" s="7"/>
      <c r="F514" s="7"/>
      <c r="G514" s="7">
        <f t="shared" ref="G514:L514" si="180">G515</f>
        <v>0</v>
      </c>
      <c r="H514" s="7">
        <f t="shared" si="180"/>
        <v>0</v>
      </c>
      <c r="I514" s="7"/>
      <c r="J514" s="7"/>
      <c r="K514" s="7">
        <f t="shared" si="180"/>
        <v>0</v>
      </c>
      <c r="L514" s="7">
        <f t="shared" si="180"/>
        <v>0</v>
      </c>
      <c r="M514" s="2"/>
      <c r="N514" s="28"/>
    </row>
    <row r="515" spans="1:14" ht="15.75" hidden="1" customHeight="1" x14ac:dyDescent="0.25">
      <c r="A515" s="32"/>
      <c r="B515" s="44"/>
      <c r="C515" s="9"/>
      <c r="D515" s="7"/>
      <c r="E515" s="9"/>
      <c r="F515" s="9"/>
      <c r="G515" s="9"/>
      <c r="H515" s="9"/>
      <c r="I515" s="9"/>
      <c r="J515" s="9"/>
      <c r="K515" s="9"/>
      <c r="L515" s="9"/>
      <c r="M515" s="2"/>
      <c r="N515" s="28"/>
    </row>
    <row r="516" spans="1:14" ht="57" hidden="1" customHeight="1" x14ac:dyDescent="0.25">
      <c r="A516" s="32" t="s">
        <v>226</v>
      </c>
      <c r="B516" s="101" t="s">
        <v>229</v>
      </c>
      <c r="C516" s="10">
        <f>SUM(C517)</f>
        <v>0</v>
      </c>
      <c r="D516" s="9"/>
      <c r="E516" s="9"/>
      <c r="F516" s="9"/>
      <c r="G516" s="9">
        <f t="shared" ref="G516:L517" si="181">SUM(G517)</f>
        <v>0</v>
      </c>
      <c r="H516" s="9">
        <f t="shared" si="181"/>
        <v>0</v>
      </c>
      <c r="I516" s="10"/>
      <c r="J516" s="10"/>
      <c r="K516" s="10">
        <f t="shared" si="181"/>
        <v>0</v>
      </c>
      <c r="L516" s="10">
        <f t="shared" si="181"/>
        <v>1044392</v>
      </c>
      <c r="M516" s="2"/>
      <c r="N516" s="28"/>
    </row>
    <row r="517" spans="1:14" ht="75" hidden="1" customHeight="1" x14ac:dyDescent="0.25">
      <c r="A517" s="32"/>
      <c r="B517" s="37" t="s">
        <v>117</v>
      </c>
      <c r="C517" s="7">
        <f>SUM(C518)</f>
        <v>0</v>
      </c>
      <c r="D517" s="7"/>
      <c r="E517" s="7"/>
      <c r="F517" s="7"/>
      <c r="G517" s="7">
        <f t="shared" si="181"/>
        <v>0</v>
      </c>
      <c r="H517" s="7">
        <f t="shared" si="181"/>
        <v>0</v>
      </c>
      <c r="I517" s="7"/>
      <c r="J517" s="7"/>
      <c r="K517" s="7">
        <f t="shared" si="181"/>
        <v>0</v>
      </c>
      <c r="L517" s="7">
        <f t="shared" si="181"/>
        <v>1044392</v>
      </c>
      <c r="M517" s="2"/>
      <c r="N517" s="28"/>
    </row>
    <row r="518" spans="1:14" ht="63" hidden="1" customHeight="1" x14ac:dyDescent="0.25">
      <c r="A518" s="32"/>
      <c r="B518" s="52" t="s">
        <v>239</v>
      </c>
      <c r="C518" s="9"/>
      <c r="D518" s="9"/>
      <c r="E518" s="9"/>
      <c r="F518" s="9"/>
      <c r="G518" s="9"/>
      <c r="H518" s="9"/>
      <c r="I518" s="9"/>
      <c r="J518" s="9"/>
      <c r="K518" s="9"/>
      <c r="L518" s="9">
        <v>1044392</v>
      </c>
      <c r="M518" s="2" t="s">
        <v>494</v>
      </c>
      <c r="N518" s="28"/>
    </row>
    <row r="519" spans="1:14" ht="85.5" hidden="1" customHeight="1" x14ac:dyDescent="0.25">
      <c r="A519" s="32" t="s">
        <v>102</v>
      </c>
      <c r="B519" s="101" t="s">
        <v>230</v>
      </c>
      <c r="C519" s="10">
        <f>C520</f>
        <v>0</v>
      </c>
      <c r="D519" s="10"/>
      <c r="E519" s="10"/>
      <c r="F519" s="10"/>
      <c r="G519" s="10">
        <f t="shared" ref="G519:L519" si="182">G520</f>
        <v>0</v>
      </c>
      <c r="H519" s="10">
        <f t="shared" si="182"/>
        <v>0</v>
      </c>
      <c r="I519" s="10"/>
      <c r="J519" s="10"/>
      <c r="K519" s="10">
        <f t="shared" si="182"/>
        <v>0</v>
      </c>
      <c r="L519" s="10">
        <f t="shared" si="182"/>
        <v>0</v>
      </c>
      <c r="M519" s="2"/>
      <c r="N519" s="28"/>
    </row>
    <row r="520" spans="1:14" ht="75" hidden="1" customHeight="1" x14ac:dyDescent="0.25">
      <c r="A520" s="32"/>
      <c r="B520" s="37" t="s">
        <v>117</v>
      </c>
      <c r="C520" s="7">
        <f>SUM(C521:C523)</f>
        <v>0</v>
      </c>
      <c r="D520" s="7"/>
      <c r="E520" s="7"/>
      <c r="F520" s="7"/>
      <c r="G520" s="7">
        <f t="shared" ref="G520:L520" si="183">SUM(G521:G523)</f>
        <v>0</v>
      </c>
      <c r="H520" s="7">
        <f t="shared" si="183"/>
        <v>0</v>
      </c>
      <c r="I520" s="7"/>
      <c r="J520" s="7"/>
      <c r="K520" s="7">
        <f t="shared" si="183"/>
        <v>0</v>
      </c>
      <c r="L520" s="7">
        <f t="shared" si="183"/>
        <v>0</v>
      </c>
      <c r="M520" s="2"/>
      <c r="N520" s="28"/>
    </row>
    <row r="521" spans="1:14" ht="60" hidden="1" customHeight="1" x14ac:dyDescent="0.25">
      <c r="A521" s="32"/>
      <c r="B521" s="128" t="s">
        <v>238</v>
      </c>
      <c r="C521" s="9"/>
      <c r="D521" s="7"/>
      <c r="E521" s="9"/>
      <c r="F521" s="9"/>
      <c r="G521" s="9"/>
      <c r="H521" s="9"/>
      <c r="I521" s="9"/>
      <c r="J521" s="9"/>
      <c r="K521" s="9"/>
      <c r="L521" s="9"/>
      <c r="M521" s="2"/>
      <c r="N521" s="28"/>
    </row>
    <row r="522" spans="1:14" ht="15.75" hidden="1" customHeight="1" x14ac:dyDescent="0.25">
      <c r="A522" s="32"/>
      <c r="B522" s="52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2"/>
      <c r="N522" s="28"/>
    </row>
    <row r="523" spans="1:14" ht="15.75" hidden="1" customHeight="1" x14ac:dyDescent="0.25">
      <c r="A523" s="32"/>
      <c r="B523" s="52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2"/>
      <c r="N523" s="28"/>
    </row>
    <row r="524" spans="1:14" ht="128.25" hidden="1" customHeight="1" x14ac:dyDescent="0.25">
      <c r="A524" s="32" t="s">
        <v>114</v>
      </c>
      <c r="B524" s="101" t="s">
        <v>161</v>
      </c>
      <c r="C524" s="10">
        <f t="shared" ref="C524:L524" si="184">C525</f>
        <v>0</v>
      </c>
      <c r="D524" s="10"/>
      <c r="E524" s="10"/>
      <c r="F524" s="10"/>
      <c r="G524" s="10">
        <f t="shared" si="184"/>
        <v>0</v>
      </c>
      <c r="H524" s="10">
        <f t="shared" si="184"/>
        <v>0</v>
      </c>
      <c r="I524" s="10"/>
      <c r="J524" s="10"/>
      <c r="K524" s="10">
        <f t="shared" si="184"/>
        <v>0</v>
      </c>
      <c r="L524" s="10">
        <f t="shared" si="184"/>
        <v>0</v>
      </c>
      <c r="M524" s="2"/>
      <c r="N524" s="28"/>
    </row>
    <row r="525" spans="1:14" ht="30" hidden="1" customHeight="1" x14ac:dyDescent="0.25">
      <c r="A525" s="32"/>
      <c r="B525" s="30" t="s">
        <v>116</v>
      </c>
      <c r="C525" s="7">
        <f t="shared" ref="C525:L525" si="185">SUM(C526:C526)</f>
        <v>0</v>
      </c>
      <c r="D525" s="7"/>
      <c r="E525" s="7"/>
      <c r="F525" s="7"/>
      <c r="G525" s="7">
        <f t="shared" si="185"/>
        <v>0</v>
      </c>
      <c r="H525" s="7">
        <f t="shared" si="185"/>
        <v>0</v>
      </c>
      <c r="I525" s="7"/>
      <c r="J525" s="7"/>
      <c r="K525" s="7">
        <f t="shared" si="185"/>
        <v>0</v>
      </c>
      <c r="L525" s="7">
        <f t="shared" si="185"/>
        <v>0</v>
      </c>
      <c r="M525" s="2"/>
      <c r="N525" s="28"/>
    </row>
    <row r="526" spans="1:14" ht="15.75" hidden="1" customHeight="1" x14ac:dyDescent="0.25">
      <c r="A526" s="32"/>
      <c r="B526" s="52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2"/>
      <c r="N526" s="28"/>
    </row>
    <row r="527" spans="1:14" ht="57" hidden="1" customHeight="1" x14ac:dyDescent="0.25">
      <c r="A527" s="32" t="s">
        <v>8</v>
      </c>
      <c r="B527" s="33" t="s">
        <v>9</v>
      </c>
      <c r="C527" s="10">
        <f t="shared" ref="C527:L528" si="186">C528</f>
        <v>0</v>
      </c>
      <c r="D527" s="10"/>
      <c r="E527" s="10"/>
      <c r="F527" s="10"/>
      <c r="G527" s="10">
        <f t="shared" si="186"/>
        <v>0</v>
      </c>
      <c r="H527" s="10">
        <f t="shared" si="186"/>
        <v>0</v>
      </c>
      <c r="I527" s="10"/>
      <c r="J527" s="10"/>
      <c r="K527" s="10">
        <f t="shared" si="186"/>
        <v>0</v>
      </c>
      <c r="L527" s="10">
        <f t="shared" si="186"/>
        <v>0</v>
      </c>
      <c r="M527" s="2"/>
      <c r="N527" s="28"/>
    </row>
    <row r="528" spans="1:14" ht="30" hidden="1" customHeight="1" x14ac:dyDescent="0.25">
      <c r="A528" s="32"/>
      <c r="B528" s="30" t="s">
        <v>116</v>
      </c>
      <c r="C528" s="7">
        <f>C529</f>
        <v>0</v>
      </c>
      <c r="D528" s="7"/>
      <c r="E528" s="7"/>
      <c r="F528" s="7"/>
      <c r="G528" s="7">
        <f t="shared" si="186"/>
        <v>0</v>
      </c>
      <c r="H528" s="7">
        <f t="shared" si="186"/>
        <v>0</v>
      </c>
      <c r="I528" s="7"/>
      <c r="J528" s="7"/>
      <c r="K528" s="7">
        <f t="shared" si="186"/>
        <v>0</v>
      </c>
      <c r="L528" s="7">
        <f t="shared" si="186"/>
        <v>0</v>
      </c>
      <c r="M528" s="2"/>
      <c r="N528" s="28"/>
    </row>
    <row r="529" spans="1:14" ht="45" hidden="1" customHeight="1" x14ac:dyDescent="0.25">
      <c r="A529" s="131"/>
      <c r="B529" s="45" t="s">
        <v>240</v>
      </c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2"/>
      <c r="N529" s="28"/>
    </row>
    <row r="530" spans="1:14" ht="71.25" x14ac:dyDescent="0.25">
      <c r="A530" s="32" t="s">
        <v>10</v>
      </c>
      <c r="B530" s="33" t="s">
        <v>11</v>
      </c>
      <c r="C530" s="10">
        <f>C531+C539+C541</f>
        <v>0</v>
      </c>
      <c r="D530" s="10"/>
      <c r="E530" s="10"/>
      <c r="F530" s="10"/>
      <c r="G530" s="10">
        <f t="shared" ref="G530:L530" si="187">G531+G539+G541</f>
        <v>10100302</v>
      </c>
      <c r="H530" s="10">
        <f t="shared" si="187"/>
        <v>0</v>
      </c>
      <c r="I530" s="10"/>
      <c r="J530" s="10"/>
      <c r="K530" s="10">
        <f t="shared" si="187"/>
        <v>52329667</v>
      </c>
      <c r="L530" s="10">
        <f t="shared" si="187"/>
        <v>52329667</v>
      </c>
      <c r="M530" s="2"/>
      <c r="N530" s="28"/>
    </row>
    <row r="531" spans="1:14" ht="64.5" customHeight="1" x14ac:dyDescent="0.25">
      <c r="A531" s="32"/>
      <c r="B531" s="37" t="s">
        <v>117</v>
      </c>
      <c r="C531" s="7">
        <f>SUM(C532:C538)</f>
        <v>0</v>
      </c>
      <c r="D531" s="7"/>
      <c r="E531" s="7"/>
      <c r="F531" s="7"/>
      <c r="G531" s="7">
        <f t="shared" ref="G531:L531" si="188">SUM(G532:G538)</f>
        <v>10100302</v>
      </c>
      <c r="H531" s="7">
        <f t="shared" si="188"/>
        <v>0</v>
      </c>
      <c r="I531" s="7"/>
      <c r="J531" s="7"/>
      <c r="K531" s="7">
        <f t="shared" si="188"/>
        <v>1464367</v>
      </c>
      <c r="L531" s="7">
        <f t="shared" si="188"/>
        <v>1464367</v>
      </c>
      <c r="M531" s="2"/>
      <c r="N531" s="28"/>
    </row>
    <row r="532" spans="1:14" ht="45" x14ac:dyDescent="0.25">
      <c r="A532" s="32"/>
      <c r="B532" s="45" t="s">
        <v>241</v>
      </c>
      <c r="C532" s="9"/>
      <c r="D532" s="9"/>
      <c r="E532" s="9"/>
      <c r="F532" s="9"/>
      <c r="G532" s="9">
        <v>4807637</v>
      </c>
      <c r="H532" s="9"/>
      <c r="I532" s="9"/>
      <c r="J532" s="9"/>
      <c r="K532" s="9"/>
      <c r="L532" s="9"/>
      <c r="M532" s="2" t="s">
        <v>495</v>
      </c>
      <c r="N532" s="28"/>
    </row>
    <row r="533" spans="1:14" ht="63.75" customHeight="1" x14ac:dyDescent="0.25">
      <c r="A533" s="32"/>
      <c r="B533" s="45" t="s">
        <v>651</v>
      </c>
      <c r="C533" s="9"/>
      <c r="D533" s="9"/>
      <c r="E533" s="9"/>
      <c r="F533" s="9"/>
      <c r="G533" s="9">
        <v>4950750</v>
      </c>
      <c r="H533" s="9"/>
      <c r="I533" s="9"/>
      <c r="J533" s="9"/>
      <c r="K533" s="9"/>
      <c r="L533" s="9"/>
      <c r="M533" s="2" t="s">
        <v>495</v>
      </c>
      <c r="N533" s="28"/>
    </row>
    <row r="534" spans="1:14" ht="75" hidden="1" customHeight="1" x14ac:dyDescent="0.25">
      <c r="A534" s="32"/>
      <c r="B534" s="45" t="s">
        <v>242</v>
      </c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2"/>
      <c r="N534" s="28"/>
    </row>
    <row r="535" spans="1:14" ht="48.75" customHeight="1" x14ac:dyDescent="0.25">
      <c r="A535" s="32"/>
      <c r="B535" s="163" t="s">
        <v>243</v>
      </c>
      <c r="C535" s="9"/>
      <c r="D535" s="9"/>
      <c r="E535" s="9"/>
      <c r="F535" s="9"/>
      <c r="G535" s="9">
        <v>341915</v>
      </c>
      <c r="H535" s="9"/>
      <c r="I535" s="9"/>
      <c r="J535" s="9"/>
      <c r="K535" s="9"/>
      <c r="L535" s="9"/>
      <c r="M535" s="2" t="s">
        <v>496</v>
      </c>
      <c r="N535" s="28"/>
    </row>
    <row r="536" spans="1:14" ht="63" hidden="1" customHeight="1" x14ac:dyDescent="0.25">
      <c r="A536" s="32"/>
      <c r="B536" s="163"/>
      <c r="C536" s="9"/>
      <c r="D536" s="9"/>
      <c r="E536" s="9"/>
      <c r="F536" s="9"/>
      <c r="G536" s="9"/>
      <c r="H536" s="9"/>
      <c r="I536" s="9"/>
      <c r="J536" s="9"/>
      <c r="K536" s="9">
        <v>1464367</v>
      </c>
      <c r="L536" s="9">
        <v>1464367</v>
      </c>
      <c r="M536" s="2" t="s">
        <v>497</v>
      </c>
      <c r="N536" s="28"/>
    </row>
    <row r="537" spans="1:14" ht="15.75" hidden="1" customHeight="1" x14ac:dyDescent="0.25">
      <c r="A537" s="32"/>
      <c r="B537" s="45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2"/>
      <c r="N537" s="28"/>
    </row>
    <row r="538" spans="1:14" ht="15.75" hidden="1" customHeight="1" x14ac:dyDescent="0.25">
      <c r="A538" s="32"/>
      <c r="B538" s="45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2"/>
      <c r="N538" s="28"/>
    </row>
    <row r="539" spans="1:14" ht="30" hidden="1" customHeight="1" x14ac:dyDescent="0.25">
      <c r="A539" s="32"/>
      <c r="B539" s="102" t="s">
        <v>115</v>
      </c>
      <c r="C539" s="9">
        <f>C540</f>
        <v>0</v>
      </c>
      <c r="D539" s="9"/>
      <c r="E539" s="9"/>
      <c r="F539" s="9"/>
      <c r="G539" s="9">
        <f t="shared" ref="G539:L539" si="189">G540</f>
        <v>0</v>
      </c>
      <c r="H539" s="9">
        <f t="shared" si="189"/>
        <v>0</v>
      </c>
      <c r="I539" s="9"/>
      <c r="J539" s="9"/>
      <c r="K539" s="9">
        <f t="shared" si="189"/>
        <v>0</v>
      </c>
      <c r="L539" s="9">
        <f t="shared" si="189"/>
        <v>50865300</v>
      </c>
      <c r="M539" s="2"/>
      <c r="N539" s="28"/>
    </row>
    <row r="540" spans="1:14" ht="78.75" hidden="1" customHeight="1" x14ac:dyDescent="0.25">
      <c r="A540" s="32"/>
      <c r="B540" s="39" t="s">
        <v>408</v>
      </c>
      <c r="C540" s="9"/>
      <c r="D540" s="9"/>
      <c r="E540" s="9"/>
      <c r="F540" s="9"/>
      <c r="G540" s="9"/>
      <c r="H540" s="9"/>
      <c r="I540" s="9"/>
      <c r="J540" s="9"/>
      <c r="K540" s="9"/>
      <c r="L540" s="9">
        <v>50865300</v>
      </c>
      <c r="M540" s="2" t="s">
        <v>590</v>
      </c>
      <c r="N540" s="28"/>
    </row>
    <row r="541" spans="1:14" ht="30" hidden="1" customHeight="1" x14ac:dyDescent="0.25">
      <c r="A541" s="32"/>
      <c r="B541" s="49" t="s">
        <v>416</v>
      </c>
      <c r="C541" s="7">
        <f>C542</f>
        <v>0</v>
      </c>
      <c r="D541" s="7"/>
      <c r="E541" s="7"/>
      <c r="F541" s="7"/>
      <c r="G541" s="7">
        <f t="shared" ref="G541:L541" si="190">G542</f>
        <v>0</v>
      </c>
      <c r="H541" s="7">
        <f t="shared" si="190"/>
        <v>0</v>
      </c>
      <c r="I541" s="7"/>
      <c r="J541" s="7"/>
      <c r="K541" s="7">
        <f t="shared" si="190"/>
        <v>50865300</v>
      </c>
      <c r="L541" s="7">
        <f t="shared" si="190"/>
        <v>0</v>
      </c>
      <c r="M541" s="2"/>
      <c r="N541" s="28"/>
    </row>
    <row r="542" spans="1:14" ht="78.75" hidden="1" customHeight="1" x14ac:dyDescent="0.25">
      <c r="A542" s="32"/>
      <c r="B542" s="39" t="s">
        <v>408</v>
      </c>
      <c r="C542" s="9"/>
      <c r="D542" s="9"/>
      <c r="E542" s="9"/>
      <c r="F542" s="9"/>
      <c r="G542" s="9"/>
      <c r="H542" s="9"/>
      <c r="I542" s="9"/>
      <c r="J542" s="9"/>
      <c r="K542" s="9">
        <v>50865300</v>
      </c>
      <c r="L542" s="9"/>
      <c r="M542" s="2" t="s">
        <v>591</v>
      </c>
      <c r="N542" s="28"/>
    </row>
    <row r="543" spans="1:14" ht="85.5" x14ac:dyDescent="0.25">
      <c r="A543" s="32" t="s">
        <v>244</v>
      </c>
      <c r="B543" s="33" t="s">
        <v>245</v>
      </c>
      <c r="C543" s="10">
        <f>C544</f>
        <v>0</v>
      </c>
      <c r="D543" s="10"/>
      <c r="E543" s="10"/>
      <c r="F543" s="10"/>
      <c r="G543" s="10">
        <f t="shared" ref="G543:L543" si="191">G544</f>
        <v>1838030</v>
      </c>
      <c r="H543" s="10">
        <f t="shared" si="191"/>
        <v>0</v>
      </c>
      <c r="I543" s="10"/>
      <c r="J543" s="10"/>
      <c r="K543" s="10">
        <f t="shared" si="191"/>
        <v>0</v>
      </c>
      <c r="L543" s="10">
        <f t="shared" si="191"/>
        <v>0</v>
      </c>
      <c r="M543" s="2"/>
      <c r="N543" s="28"/>
    </row>
    <row r="544" spans="1:14" ht="63" customHeight="1" x14ac:dyDescent="0.25">
      <c r="A544" s="32"/>
      <c r="B544" s="37" t="s">
        <v>117</v>
      </c>
      <c r="C544" s="7">
        <f>SUM(C545)</f>
        <v>0</v>
      </c>
      <c r="D544" s="7"/>
      <c r="E544" s="7"/>
      <c r="F544" s="7"/>
      <c r="G544" s="7">
        <f t="shared" ref="G544:L544" si="192">SUM(G545)</f>
        <v>1838030</v>
      </c>
      <c r="H544" s="7">
        <f t="shared" si="192"/>
        <v>0</v>
      </c>
      <c r="I544" s="7"/>
      <c r="J544" s="7"/>
      <c r="K544" s="7">
        <f t="shared" si="192"/>
        <v>0</v>
      </c>
      <c r="L544" s="7">
        <f t="shared" si="192"/>
        <v>0</v>
      </c>
      <c r="M544" s="2"/>
      <c r="N544" s="28"/>
    </row>
    <row r="545" spans="1:14" ht="45" x14ac:dyDescent="0.25">
      <c r="A545" s="32"/>
      <c r="B545" s="43" t="s">
        <v>246</v>
      </c>
      <c r="C545" s="9"/>
      <c r="D545" s="9"/>
      <c r="E545" s="9"/>
      <c r="F545" s="9"/>
      <c r="G545" s="9">
        <v>1838030</v>
      </c>
      <c r="H545" s="9"/>
      <c r="I545" s="9"/>
      <c r="J545" s="9"/>
      <c r="K545" s="9"/>
      <c r="L545" s="9"/>
      <c r="M545" s="2" t="s">
        <v>495</v>
      </c>
      <c r="N545" s="28"/>
    </row>
    <row r="546" spans="1:14" ht="57" x14ac:dyDescent="0.25">
      <c r="A546" s="32" t="s">
        <v>247</v>
      </c>
      <c r="B546" s="33" t="s">
        <v>248</v>
      </c>
      <c r="C546" s="10">
        <f>C547</f>
        <v>0</v>
      </c>
      <c r="D546" s="10"/>
      <c r="E546" s="10"/>
      <c r="F546" s="10"/>
      <c r="G546" s="10">
        <f t="shared" ref="G546:L546" si="193">G547</f>
        <v>21500000</v>
      </c>
      <c r="H546" s="10">
        <f t="shared" si="193"/>
        <v>0</v>
      </c>
      <c r="I546" s="10"/>
      <c r="J546" s="10"/>
      <c r="K546" s="10">
        <f t="shared" si="193"/>
        <v>61662</v>
      </c>
      <c r="L546" s="10">
        <f t="shared" si="193"/>
        <v>661662</v>
      </c>
      <c r="M546" s="2"/>
      <c r="N546" s="28"/>
    </row>
    <row r="547" spans="1:14" ht="75" x14ac:dyDescent="0.25">
      <c r="A547" s="32" t="s">
        <v>547</v>
      </c>
      <c r="B547" s="133" t="s">
        <v>546</v>
      </c>
      <c r="C547" s="10">
        <f>C548</f>
        <v>0</v>
      </c>
      <c r="D547" s="10"/>
      <c r="E547" s="10"/>
      <c r="F547" s="10"/>
      <c r="G547" s="10">
        <f t="shared" ref="G547:L547" si="194">G548</f>
        <v>21500000</v>
      </c>
      <c r="H547" s="10">
        <f t="shared" si="194"/>
        <v>0</v>
      </c>
      <c r="I547" s="10"/>
      <c r="J547" s="10"/>
      <c r="K547" s="10">
        <f t="shared" si="194"/>
        <v>61662</v>
      </c>
      <c r="L547" s="10">
        <f t="shared" si="194"/>
        <v>661662</v>
      </c>
      <c r="M547" s="2"/>
      <c r="N547" s="28"/>
    </row>
    <row r="548" spans="1:14" ht="30" x14ac:dyDescent="0.25">
      <c r="A548" s="32"/>
      <c r="B548" s="102" t="s">
        <v>249</v>
      </c>
      <c r="C548" s="9">
        <f>SUM(C549:C551)</f>
        <v>0</v>
      </c>
      <c r="D548" s="9"/>
      <c r="E548" s="9"/>
      <c r="F548" s="9"/>
      <c r="G548" s="9">
        <f t="shared" ref="G548:L548" si="195">SUM(G549:G551)</f>
        <v>21500000</v>
      </c>
      <c r="H548" s="9">
        <f t="shared" si="195"/>
        <v>0</v>
      </c>
      <c r="I548" s="9"/>
      <c r="J548" s="9"/>
      <c r="K548" s="9">
        <f t="shared" si="195"/>
        <v>61662</v>
      </c>
      <c r="L548" s="9">
        <f t="shared" si="195"/>
        <v>661662</v>
      </c>
      <c r="M548" s="2"/>
      <c r="N548" s="28"/>
    </row>
    <row r="549" spans="1:14" ht="47.25" hidden="1" customHeight="1" x14ac:dyDescent="0.25">
      <c r="A549" s="32"/>
      <c r="B549" s="43" t="s">
        <v>250</v>
      </c>
      <c r="C549" s="9"/>
      <c r="D549" s="9"/>
      <c r="E549" s="9"/>
      <c r="F549" s="9"/>
      <c r="G549" s="9"/>
      <c r="H549" s="9"/>
      <c r="I549" s="9"/>
      <c r="J549" s="9"/>
      <c r="K549" s="9"/>
      <c r="L549" s="9">
        <v>600000</v>
      </c>
      <c r="M549" s="2" t="s">
        <v>498</v>
      </c>
      <c r="N549" s="28"/>
    </row>
    <row r="550" spans="1:14" ht="77.25" customHeight="1" x14ac:dyDescent="0.25">
      <c r="A550" s="32"/>
      <c r="B550" s="163" t="s">
        <v>251</v>
      </c>
      <c r="C550" s="9"/>
      <c r="D550" s="7"/>
      <c r="E550" s="7"/>
      <c r="F550" s="7"/>
      <c r="G550" s="7">
        <f>20000000+1500000</f>
        <v>21500000</v>
      </c>
      <c r="H550" s="7"/>
      <c r="I550" s="9"/>
      <c r="J550" s="9"/>
      <c r="K550" s="9"/>
      <c r="L550" s="9"/>
      <c r="M550" s="2" t="s">
        <v>499</v>
      </c>
      <c r="N550" s="28"/>
    </row>
    <row r="551" spans="1:14" ht="47.25" hidden="1" customHeight="1" x14ac:dyDescent="0.25">
      <c r="A551" s="32"/>
      <c r="B551" s="163"/>
      <c r="C551" s="9"/>
      <c r="D551" s="7"/>
      <c r="E551" s="7"/>
      <c r="F551" s="7"/>
      <c r="G551" s="7"/>
      <c r="H551" s="7"/>
      <c r="I551" s="9"/>
      <c r="J551" s="9"/>
      <c r="K551" s="9">
        <v>61662</v>
      </c>
      <c r="L551" s="9">
        <v>61662</v>
      </c>
      <c r="M551" s="2" t="s">
        <v>500</v>
      </c>
      <c r="N551" s="28"/>
    </row>
    <row r="552" spans="1:14" ht="71.25" hidden="1" customHeight="1" x14ac:dyDescent="0.25">
      <c r="A552" s="32" t="s">
        <v>280</v>
      </c>
      <c r="B552" s="33" t="s">
        <v>281</v>
      </c>
      <c r="C552" s="10">
        <f>C553</f>
        <v>0</v>
      </c>
      <c r="D552" s="10"/>
      <c r="E552" s="10"/>
      <c r="F552" s="10"/>
      <c r="G552" s="10">
        <f t="shared" ref="G552:L552" si="196">G553</f>
        <v>0</v>
      </c>
      <c r="H552" s="10">
        <f t="shared" si="196"/>
        <v>0</v>
      </c>
      <c r="I552" s="10"/>
      <c r="J552" s="10"/>
      <c r="K552" s="10">
        <f t="shared" si="196"/>
        <v>0</v>
      </c>
      <c r="L552" s="10">
        <f t="shared" si="196"/>
        <v>1250000</v>
      </c>
      <c r="M552" s="2"/>
      <c r="N552" s="28"/>
    </row>
    <row r="553" spans="1:14" ht="75" hidden="1" customHeight="1" x14ac:dyDescent="0.25">
      <c r="A553" s="32"/>
      <c r="B553" s="133" t="s">
        <v>282</v>
      </c>
      <c r="C553" s="10">
        <f>C554</f>
        <v>0</v>
      </c>
      <c r="D553" s="10"/>
      <c r="E553" s="10"/>
      <c r="F553" s="10"/>
      <c r="G553" s="10">
        <f t="shared" ref="G553:L553" si="197">G554</f>
        <v>0</v>
      </c>
      <c r="H553" s="10">
        <f t="shared" si="197"/>
        <v>0</v>
      </c>
      <c r="I553" s="10"/>
      <c r="J553" s="10"/>
      <c r="K553" s="10">
        <f t="shared" si="197"/>
        <v>0</v>
      </c>
      <c r="L553" s="10">
        <f t="shared" si="197"/>
        <v>1250000</v>
      </c>
      <c r="M553" s="2"/>
      <c r="N553" s="28"/>
    </row>
    <row r="554" spans="1:14" ht="60" hidden="1" customHeight="1" x14ac:dyDescent="0.25">
      <c r="A554" s="32"/>
      <c r="B554" s="30" t="s">
        <v>156</v>
      </c>
      <c r="C554" s="9">
        <f>C555</f>
        <v>0</v>
      </c>
      <c r="D554" s="9"/>
      <c r="E554" s="9"/>
      <c r="F554" s="9"/>
      <c r="G554" s="9">
        <f t="shared" ref="G554:L554" si="198">G555</f>
        <v>0</v>
      </c>
      <c r="H554" s="9">
        <f t="shared" si="198"/>
        <v>0</v>
      </c>
      <c r="I554" s="9"/>
      <c r="J554" s="9"/>
      <c r="K554" s="9">
        <f t="shared" si="198"/>
        <v>0</v>
      </c>
      <c r="L554" s="9">
        <f t="shared" si="198"/>
        <v>1250000</v>
      </c>
      <c r="M554" s="2"/>
      <c r="N554" s="28"/>
    </row>
    <row r="555" spans="1:14" ht="60" hidden="1" customHeight="1" x14ac:dyDescent="0.25">
      <c r="A555" s="32"/>
      <c r="B555" s="39" t="s">
        <v>283</v>
      </c>
      <c r="C555" s="9"/>
      <c r="D555" s="7"/>
      <c r="E555" s="7"/>
      <c r="F555" s="7"/>
      <c r="G555" s="7"/>
      <c r="H555" s="7"/>
      <c r="I555" s="9"/>
      <c r="J555" s="9"/>
      <c r="K555" s="9"/>
      <c r="L555" s="9">
        <v>1250000</v>
      </c>
      <c r="M555" s="2" t="s">
        <v>501</v>
      </c>
      <c r="N555" s="28"/>
    </row>
    <row r="556" spans="1:14" ht="15.75" hidden="1" customHeight="1" x14ac:dyDescent="0.25">
      <c r="A556" s="32"/>
      <c r="B556" s="41"/>
      <c r="C556" s="9"/>
      <c r="D556" s="7"/>
      <c r="E556" s="7"/>
      <c r="F556" s="7"/>
      <c r="G556" s="7"/>
      <c r="H556" s="7"/>
      <c r="I556" s="9"/>
      <c r="J556" s="9"/>
      <c r="K556" s="9"/>
      <c r="L556" s="9"/>
      <c r="M556" s="2"/>
      <c r="N556" s="28"/>
    </row>
    <row r="557" spans="1:14" ht="114" x14ac:dyDescent="0.25">
      <c r="A557" s="32" t="s">
        <v>19</v>
      </c>
      <c r="B557" s="33" t="s">
        <v>20</v>
      </c>
      <c r="C557" s="10">
        <f t="shared" ref="C557:L557" si="199">C558+C563+C570+C566+C579+C565</f>
        <v>0</v>
      </c>
      <c r="D557" s="10"/>
      <c r="E557" s="10"/>
      <c r="F557" s="10"/>
      <c r="G557" s="10">
        <f>G558+G563+G570+G566+G579+G565+G564</f>
        <v>471389818</v>
      </c>
      <c r="H557" s="10">
        <f t="shared" si="199"/>
        <v>487961</v>
      </c>
      <c r="I557" s="10"/>
      <c r="J557" s="10"/>
      <c r="K557" s="10">
        <f t="shared" si="199"/>
        <v>31015857</v>
      </c>
      <c r="L557" s="10">
        <f t="shared" si="199"/>
        <v>31311357</v>
      </c>
      <c r="M557" s="2"/>
      <c r="N557" s="28"/>
    </row>
    <row r="558" spans="1:14" ht="60" x14ac:dyDescent="0.25">
      <c r="A558" s="32" t="s">
        <v>198</v>
      </c>
      <c r="B558" s="133" t="s">
        <v>38</v>
      </c>
      <c r="C558" s="10">
        <f t="shared" ref="C558:L558" si="200">C559</f>
        <v>0</v>
      </c>
      <c r="D558" s="10"/>
      <c r="E558" s="10"/>
      <c r="F558" s="10"/>
      <c r="G558" s="10">
        <f t="shared" si="200"/>
        <v>0</v>
      </c>
      <c r="H558" s="10">
        <f>H559</f>
        <v>487951</v>
      </c>
      <c r="I558" s="10"/>
      <c r="J558" s="10"/>
      <c r="K558" s="10">
        <f t="shared" si="200"/>
        <v>6030000</v>
      </c>
      <c r="L558" s="10">
        <f t="shared" si="200"/>
        <v>6030000</v>
      </c>
      <c r="M558" s="2"/>
      <c r="N558" s="28"/>
    </row>
    <row r="559" spans="1:14" ht="30" x14ac:dyDescent="0.25">
      <c r="A559" s="32"/>
      <c r="B559" s="30" t="s">
        <v>39</v>
      </c>
      <c r="C559" s="7">
        <f>SUM(C560:C562)</f>
        <v>0</v>
      </c>
      <c r="D559" s="7"/>
      <c r="E559" s="7"/>
      <c r="F559" s="7"/>
      <c r="G559" s="7">
        <f t="shared" ref="G559:L559" si="201">SUM(G560:G562)</f>
        <v>0</v>
      </c>
      <c r="H559" s="7">
        <f t="shared" si="201"/>
        <v>487951</v>
      </c>
      <c r="I559" s="7"/>
      <c r="J559" s="7"/>
      <c r="K559" s="7">
        <f t="shared" si="201"/>
        <v>6030000</v>
      </c>
      <c r="L559" s="7">
        <f t="shared" si="201"/>
        <v>6030000</v>
      </c>
      <c r="M559" s="2"/>
      <c r="N559" s="28"/>
    </row>
    <row r="560" spans="1:14" ht="75" hidden="1" customHeight="1" x14ac:dyDescent="0.25">
      <c r="A560" s="32"/>
      <c r="B560" s="39" t="s">
        <v>357</v>
      </c>
      <c r="C560" s="9"/>
      <c r="D560" s="9"/>
      <c r="E560" s="9"/>
      <c r="F560" s="9"/>
      <c r="G560" s="9"/>
      <c r="H560" s="9"/>
      <c r="I560" s="9"/>
      <c r="J560" s="9"/>
      <c r="K560" s="12">
        <v>6030000</v>
      </c>
      <c r="L560" s="12">
        <v>6030000</v>
      </c>
      <c r="M560" s="2" t="s">
        <v>531</v>
      </c>
      <c r="N560" s="28"/>
    </row>
    <row r="561" spans="1:14" ht="45" x14ac:dyDescent="0.25">
      <c r="A561" s="32"/>
      <c r="B561" s="39" t="s">
        <v>358</v>
      </c>
      <c r="C561" s="9"/>
      <c r="D561" s="9"/>
      <c r="E561" s="9"/>
      <c r="F561" s="9"/>
      <c r="G561" s="9"/>
      <c r="H561" s="9">
        <v>487951</v>
      </c>
      <c r="I561" s="9"/>
      <c r="J561" s="9"/>
      <c r="K561" s="9"/>
      <c r="L561" s="9"/>
      <c r="M561" s="2" t="s">
        <v>338</v>
      </c>
      <c r="N561" s="28"/>
    </row>
    <row r="562" spans="1:14" ht="15.75" hidden="1" customHeight="1" x14ac:dyDescent="0.25">
      <c r="A562" s="32"/>
      <c r="B562" s="3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2"/>
      <c r="N562" s="28"/>
    </row>
    <row r="563" spans="1:14" ht="114" hidden="1" customHeight="1" x14ac:dyDescent="0.25">
      <c r="A563" s="32" t="s">
        <v>133</v>
      </c>
      <c r="B563" s="33" t="s">
        <v>134</v>
      </c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2"/>
      <c r="N563" s="28"/>
    </row>
    <row r="564" spans="1:14" ht="114" x14ac:dyDescent="0.25">
      <c r="A564" s="32" t="s">
        <v>133</v>
      </c>
      <c r="B564" s="33" t="s">
        <v>134</v>
      </c>
      <c r="C564" s="10"/>
      <c r="D564" s="10"/>
      <c r="E564" s="10"/>
      <c r="F564" s="10"/>
      <c r="G564" s="27">
        <f>143500000+2078000+1666914</f>
        <v>147244914</v>
      </c>
      <c r="H564" s="10"/>
      <c r="I564" s="10"/>
      <c r="J564" s="10"/>
      <c r="K564" s="10"/>
      <c r="L564" s="10"/>
      <c r="M564" s="2" t="s">
        <v>502</v>
      </c>
      <c r="N564" s="28"/>
    </row>
    <row r="565" spans="1:14" ht="114" x14ac:dyDescent="0.25">
      <c r="A565" s="32" t="s">
        <v>224</v>
      </c>
      <c r="B565" s="33" t="s">
        <v>225</v>
      </c>
      <c r="C565" s="10"/>
      <c r="D565" s="10"/>
      <c r="E565" s="10"/>
      <c r="F565" s="10"/>
      <c r="G565" s="27">
        <f>301734000+21210904</f>
        <v>322944904</v>
      </c>
      <c r="H565" s="10"/>
      <c r="I565" s="10"/>
      <c r="J565" s="10"/>
      <c r="K565" s="10"/>
      <c r="L565" s="10"/>
      <c r="M565" s="2" t="s">
        <v>503</v>
      </c>
      <c r="N565" s="28"/>
    </row>
    <row r="566" spans="1:14" ht="57" x14ac:dyDescent="0.25">
      <c r="A566" s="32" t="s">
        <v>135</v>
      </c>
      <c r="B566" s="33" t="s">
        <v>136</v>
      </c>
      <c r="C566" s="10">
        <f t="shared" ref="C566:L566" si="202">C567</f>
        <v>0</v>
      </c>
      <c r="D566" s="10"/>
      <c r="E566" s="10"/>
      <c r="F566" s="10"/>
      <c r="G566" s="10">
        <f t="shared" si="202"/>
        <v>0</v>
      </c>
      <c r="H566" s="10">
        <f t="shared" si="202"/>
        <v>10</v>
      </c>
      <c r="I566" s="10"/>
      <c r="J566" s="10"/>
      <c r="K566" s="10">
        <f t="shared" si="202"/>
        <v>5285857</v>
      </c>
      <c r="L566" s="10">
        <f t="shared" si="202"/>
        <v>5285857</v>
      </c>
      <c r="M566" s="2"/>
      <c r="N566" s="28"/>
    </row>
    <row r="567" spans="1:14" ht="34.5" customHeight="1" x14ac:dyDescent="0.25">
      <c r="A567" s="32"/>
      <c r="B567" s="30" t="s">
        <v>119</v>
      </c>
      <c r="C567" s="7">
        <f>C568+C569</f>
        <v>0</v>
      </c>
      <c r="D567" s="7"/>
      <c r="E567" s="7"/>
      <c r="F567" s="7"/>
      <c r="G567" s="7">
        <f t="shared" ref="G567:L567" si="203">G568+G569</f>
        <v>0</v>
      </c>
      <c r="H567" s="7">
        <f t="shared" si="203"/>
        <v>10</v>
      </c>
      <c r="I567" s="7"/>
      <c r="J567" s="7"/>
      <c r="K567" s="7">
        <f t="shared" si="203"/>
        <v>5285857</v>
      </c>
      <c r="L567" s="7">
        <f t="shared" si="203"/>
        <v>5285857</v>
      </c>
      <c r="M567" s="2"/>
      <c r="N567" s="28"/>
    </row>
    <row r="568" spans="1:14" ht="15.75" x14ac:dyDescent="0.25">
      <c r="A568" s="32"/>
      <c r="B568" s="39"/>
      <c r="C568" s="9"/>
      <c r="D568" s="9"/>
      <c r="E568" s="9"/>
      <c r="F568" s="9"/>
      <c r="G568" s="9"/>
      <c r="H568" s="9">
        <v>10</v>
      </c>
      <c r="I568" s="9"/>
      <c r="J568" s="9"/>
      <c r="K568" s="9"/>
      <c r="L568" s="9"/>
      <c r="M568" s="2" t="s">
        <v>504</v>
      </c>
      <c r="N568" s="28"/>
    </row>
    <row r="569" spans="1:14" ht="75" hidden="1" customHeight="1" x14ac:dyDescent="0.25">
      <c r="A569" s="32"/>
      <c r="B569" s="39" t="s">
        <v>359</v>
      </c>
      <c r="C569" s="9"/>
      <c r="D569" s="9"/>
      <c r="E569" s="9"/>
      <c r="F569" s="9"/>
      <c r="G569" s="9"/>
      <c r="H569" s="9"/>
      <c r="I569" s="9"/>
      <c r="J569" s="9"/>
      <c r="K569" s="9">
        <v>5285857</v>
      </c>
      <c r="L569" s="9">
        <v>5285857</v>
      </c>
      <c r="M569" s="2" t="s">
        <v>360</v>
      </c>
      <c r="N569" s="28"/>
    </row>
    <row r="570" spans="1:14" ht="71.25" hidden="1" customHeight="1" x14ac:dyDescent="0.25">
      <c r="A570" s="32" t="s">
        <v>40</v>
      </c>
      <c r="B570" s="87" t="s">
        <v>41</v>
      </c>
      <c r="C570" s="10">
        <f t="shared" ref="C570:L570" si="204">C571</f>
        <v>0</v>
      </c>
      <c r="D570" s="10"/>
      <c r="E570" s="10"/>
      <c r="F570" s="10"/>
      <c r="G570" s="10">
        <f t="shared" si="204"/>
        <v>0</v>
      </c>
      <c r="H570" s="10">
        <f t="shared" si="204"/>
        <v>0</v>
      </c>
      <c r="I570" s="10"/>
      <c r="J570" s="10"/>
      <c r="K570" s="10">
        <f t="shared" si="204"/>
        <v>0</v>
      </c>
      <c r="L570" s="10">
        <f t="shared" si="204"/>
        <v>295500</v>
      </c>
      <c r="M570" s="2"/>
      <c r="N570" s="28"/>
    </row>
    <row r="571" spans="1:14" ht="45" hidden="1" customHeight="1" x14ac:dyDescent="0.25">
      <c r="A571" s="78"/>
      <c r="B571" s="134" t="s">
        <v>42</v>
      </c>
      <c r="C571" s="7">
        <f>SUM(C572:C577)</f>
        <v>0</v>
      </c>
      <c r="D571" s="7"/>
      <c r="E571" s="7"/>
      <c r="F571" s="7"/>
      <c r="G571" s="7">
        <f t="shared" ref="G571:L571" si="205">SUM(G572:G577)</f>
        <v>0</v>
      </c>
      <c r="H571" s="7">
        <f t="shared" si="205"/>
        <v>0</v>
      </c>
      <c r="I571" s="7"/>
      <c r="J571" s="7"/>
      <c r="K571" s="7">
        <f t="shared" si="205"/>
        <v>0</v>
      </c>
      <c r="L571" s="7">
        <f t="shared" si="205"/>
        <v>295500</v>
      </c>
      <c r="M571" s="2"/>
      <c r="N571" s="28"/>
    </row>
    <row r="572" spans="1:14" ht="31.5" hidden="1" customHeight="1" x14ac:dyDescent="0.25">
      <c r="A572" s="78"/>
      <c r="B572" s="45"/>
      <c r="C572" s="9"/>
      <c r="D572" s="9"/>
      <c r="E572" s="9"/>
      <c r="F572" s="9"/>
      <c r="G572" s="9"/>
      <c r="H572" s="9"/>
      <c r="I572" s="9"/>
      <c r="J572" s="9"/>
      <c r="K572" s="9"/>
      <c r="L572" s="9">
        <v>295500</v>
      </c>
      <c r="M572" s="2" t="s">
        <v>361</v>
      </c>
      <c r="N572" s="28"/>
    </row>
    <row r="573" spans="1:14" ht="15.75" hidden="1" customHeight="1" x14ac:dyDescent="0.25">
      <c r="A573" s="32"/>
      <c r="B573" s="45"/>
      <c r="C573" s="9"/>
      <c r="D573" s="9"/>
      <c r="E573" s="9"/>
      <c r="F573" s="9"/>
      <c r="G573" s="9">
        <v>0</v>
      </c>
      <c r="H573" s="9"/>
      <c r="I573" s="9"/>
      <c r="J573" s="9"/>
      <c r="K573" s="9"/>
      <c r="L573" s="9"/>
      <c r="M573" s="2"/>
      <c r="N573" s="28"/>
    </row>
    <row r="574" spans="1:14" ht="15.75" hidden="1" customHeight="1" x14ac:dyDescent="0.25">
      <c r="A574" s="32"/>
      <c r="B574" s="45"/>
      <c r="C574" s="9"/>
      <c r="D574" s="9"/>
      <c r="E574" s="9"/>
      <c r="F574" s="9"/>
      <c r="G574" s="9">
        <v>0</v>
      </c>
      <c r="H574" s="9"/>
      <c r="I574" s="9"/>
      <c r="J574" s="9"/>
      <c r="K574" s="9"/>
      <c r="L574" s="9"/>
      <c r="M574" s="2"/>
      <c r="N574" s="28"/>
    </row>
    <row r="575" spans="1:14" ht="15.75" hidden="1" customHeight="1" x14ac:dyDescent="0.25">
      <c r="A575" s="32"/>
      <c r="B575" s="45"/>
      <c r="C575" s="9"/>
      <c r="D575" s="9"/>
      <c r="E575" s="9"/>
      <c r="F575" s="9"/>
      <c r="G575" s="9">
        <v>0</v>
      </c>
      <c r="H575" s="9"/>
      <c r="I575" s="9"/>
      <c r="J575" s="9"/>
      <c r="K575" s="9"/>
      <c r="L575" s="9"/>
      <c r="M575" s="2"/>
      <c r="N575" s="28"/>
    </row>
    <row r="576" spans="1:14" ht="15.75" hidden="1" customHeight="1" x14ac:dyDescent="0.25">
      <c r="A576" s="32"/>
      <c r="B576" s="45"/>
      <c r="C576" s="9"/>
      <c r="D576" s="9"/>
      <c r="E576" s="9"/>
      <c r="F576" s="9"/>
      <c r="G576" s="9">
        <v>0</v>
      </c>
      <c r="H576" s="9"/>
      <c r="I576" s="9"/>
      <c r="J576" s="9"/>
      <c r="K576" s="9"/>
      <c r="L576" s="9"/>
      <c r="M576" s="2"/>
      <c r="N576" s="28"/>
    </row>
    <row r="577" spans="1:14" ht="15.75" hidden="1" customHeight="1" x14ac:dyDescent="0.25">
      <c r="A577" s="32"/>
      <c r="B577" s="45"/>
      <c r="C577" s="9"/>
      <c r="D577" s="9"/>
      <c r="E577" s="9"/>
      <c r="F577" s="9"/>
      <c r="G577" s="9">
        <v>0</v>
      </c>
      <c r="H577" s="9"/>
      <c r="I577" s="9"/>
      <c r="J577" s="9"/>
      <c r="K577" s="9"/>
      <c r="L577" s="9"/>
      <c r="M577" s="2"/>
      <c r="N577" s="28"/>
    </row>
    <row r="578" spans="1:14" ht="31.5" x14ac:dyDescent="0.25">
      <c r="A578" s="32"/>
      <c r="B578" s="45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2" t="s">
        <v>652</v>
      </c>
      <c r="N578" s="28"/>
    </row>
    <row r="579" spans="1:14" ht="71.25" x14ac:dyDescent="0.25">
      <c r="A579" s="32" t="s">
        <v>560</v>
      </c>
      <c r="B579" s="36" t="s">
        <v>149</v>
      </c>
      <c r="C579" s="10">
        <f>C580</f>
        <v>0</v>
      </c>
      <c r="D579" s="10"/>
      <c r="E579" s="10"/>
      <c r="F579" s="10"/>
      <c r="G579" s="10">
        <f t="shared" ref="G579:L579" si="206">G580</f>
        <v>1200000</v>
      </c>
      <c r="H579" s="10">
        <f t="shared" si="206"/>
        <v>0</v>
      </c>
      <c r="I579" s="10"/>
      <c r="J579" s="10"/>
      <c r="K579" s="10">
        <f t="shared" si="206"/>
        <v>19700000</v>
      </c>
      <c r="L579" s="10">
        <f t="shared" si="206"/>
        <v>19700000</v>
      </c>
      <c r="M579" s="2"/>
      <c r="N579" s="28"/>
    </row>
    <row r="580" spans="1:14" ht="45" x14ac:dyDescent="0.25">
      <c r="A580" s="32"/>
      <c r="B580" s="134" t="s">
        <v>42</v>
      </c>
      <c r="C580" s="7">
        <f>SUM(C581:C583)</f>
        <v>0</v>
      </c>
      <c r="D580" s="7"/>
      <c r="E580" s="7"/>
      <c r="F580" s="7"/>
      <c r="G580" s="7">
        <f t="shared" ref="G580:L580" si="207">SUM(G581:G583)</f>
        <v>1200000</v>
      </c>
      <c r="H580" s="7">
        <f t="shared" si="207"/>
        <v>0</v>
      </c>
      <c r="I580" s="7"/>
      <c r="J580" s="7"/>
      <c r="K580" s="7">
        <f t="shared" si="207"/>
        <v>19700000</v>
      </c>
      <c r="L580" s="7">
        <f t="shared" si="207"/>
        <v>19700000</v>
      </c>
      <c r="M580" s="2"/>
      <c r="N580" s="28"/>
    </row>
    <row r="581" spans="1:14" ht="45" hidden="1" customHeight="1" x14ac:dyDescent="0.25">
      <c r="A581" s="32"/>
      <c r="B581" s="128" t="s">
        <v>362</v>
      </c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2"/>
      <c r="N581" s="28"/>
    </row>
    <row r="582" spans="1:14" ht="47.25" hidden="1" customHeight="1" x14ac:dyDescent="0.25">
      <c r="A582" s="32"/>
      <c r="B582" s="128"/>
      <c r="C582" s="9"/>
      <c r="D582" s="9"/>
      <c r="E582" s="9"/>
      <c r="F582" s="9"/>
      <c r="G582" s="9"/>
      <c r="H582" s="9"/>
      <c r="I582" s="9"/>
      <c r="J582" s="9"/>
      <c r="K582" s="9">
        <v>19700000</v>
      </c>
      <c r="L582" s="9">
        <v>19700000</v>
      </c>
      <c r="M582" s="2" t="s">
        <v>363</v>
      </c>
      <c r="N582" s="28"/>
    </row>
    <row r="583" spans="1:14" ht="63" x14ac:dyDescent="0.25">
      <c r="A583" s="32"/>
      <c r="B583" s="128"/>
      <c r="C583" s="9"/>
      <c r="D583" s="9"/>
      <c r="E583" s="9"/>
      <c r="F583" s="9"/>
      <c r="G583" s="9">
        <v>1200000</v>
      </c>
      <c r="H583" s="9"/>
      <c r="I583" s="9"/>
      <c r="J583" s="9"/>
      <c r="K583" s="9"/>
      <c r="L583" s="9"/>
      <c r="M583" s="2" t="s">
        <v>544</v>
      </c>
      <c r="N583" s="28"/>
    </row>
    <row r="584" spans="1:14" ht="71.25" x14ac:dyDescent="0.25">
      <c r="A584" s="32" t="s">
        <v>85</v>
      </c>
      <c r="B584" s="88" t="s">
        <v>83</v>
      </c>
      <c r="C584" s="10">
        <f t="shared" ref="C584" si="208">C585+C593</f>
        <v>0</v>
      </c>
      <c r="D584" s="10"/>
      <c r="E584" s="10"/>
      <c r="F584" s="10"/>
      <c r="G584" s="10">
        <f t="shared" ref="G584:H584" si="209">G585+G593</f>
        <v>1774700</v>
      </c>
      <c r="H584" s="10">
        <f t="shared" si="209"/>
        <v>0</v>
      </c>
      <c r="I584" s="10"/>
      <c r="J584" s="10"/>
      <c r="K584" s="10">
        <f t="shared" ref="K584:L584" si="210">K585+K593</f>
        <v>0</v>
      </c>
      <c r="L584" s="10">
        <f t="shared" si="210"/>
        <v>0</v>
      </c>
      <c r="M584" s="2"/>
      <c r="N584" s="28"/>
    </row>
    <row r="585" spans="1:14" ht="114" x14ac:dyDescent="0.25">
      <c r="A585" s="32" t="s">
        <v>86</v>
      </c>
      <c r="B585" s="87" t="s">
        <v>84</v>
      </c>
      <c r="C585" s="10">
        <f>C586</f>
        <v>0</v>
      </c>
      <c r="D585" s="10"/>
      <c r="E585" s="10"/>
      <c r="F585" s="10"/>
      <c r="G585" s="10">
        <f t="shared" ref="G585:L585" si="211">G586</f>
        <v>1774700</v>
      </c>
      <c r="H585" s="10">
        <f t="shared" si="211"/>
        <v>0</v>
      </c>
      <c r="I585" s="10"/>
      <c r="J585" s="10"/>
      <c r="K585" s="10">
        <f t="shared" si="211"/>
        <v>0</v>
      </c>
      <c r="L585" s="10">
        <f t="shared" si="211"/>
        <v>0</v>
      </c>
      <c r="M585" s="2"/>
      <c r="N585" s="28"/>
    </row>
    <row r="586" spans="1:14" ht="33" customHeight="1" x14ac:dyDescent="0.25">
      <c r="A586" s="32"/>
      <c r="B586" s="30" t="s">
        <v>33</v>
      </c>
      <c r="C586" s="7">
        <f t="shared" ref="C586" si="212">C587+C588+C589+C591+C592+C590</f>
        <v>0</v>
      </c>
      <c r="D586" s="7"/>
      <c r="E586" s="7"/>
      <c r="F586" s="7"/>
      <c r="G586" s="7">
        <f>G587+G588+G589+G591+G592+G590</f>
        <v>1774700</v>
      </c>
      <c r="H586" s="7">
        <f t="shared" ref="H586" si="213">H587+H588+H589+H591+H592+H590</f>
        <v>0</v>
      </c>
      <c r="I586" s="7"/>
      <c r="J586" s="7"/>
      <c r="K586" s="7">
        <f t="shared" ref="K586:L586" si="214">K587+K588+K589+K591+K592+K590</f>
        <v>0</v>
      </c>
      <c r="L586" s="7">
        <f t="shared" si="214"/>
        <v>0</v>
      </c>
      <c r="M586" s="2"/>
      <c r="N586" s="28"/>
    </row>
    <row r="587" spans="1:14" ht="15.75" hidden="1" customHeight="1" x14ac:dyDescent="0.25">
      <c r="A587" s="32"/>
      <c r="B587" s="128"/>
      <c r="C587" s="10"/>
      <c r="D587" s="10"/>
      <c r="E587" s="9"/>
      <c r="F587" s="10"/>
      <c r="G587" s="10">
        <v>0</v>
      </c>
      <c r="H587" s="10"/>
      <c r="I587" s="9"/>
      <c r="J587" s="9"/>
      <c r="K587" s="9"/>
      <c r="L587" s="9"/>
      <c r="M587" s="2"/>
      <c r="N587" s="28"/>
    </row>
    <row r="588" spans="1:14" ht="78.75" x14ac:dyDescent="0.25">
      <c r="A588" s="32"/>
      <c r="B588" s="128"/>
      <c r="C588" s="10"/>
      <c r="D588" s="10"/>
      <c r="E588" s="9"/>
      <c r="F588" s="10"/>
      <c r="G588" s="9">
        <v>1774700</v>
      </c>
      <c r="H588" s="10"/>
      <c r="I588" s="10"/>
      <c r="J588" s="10"/>
      <c r="K588" s="10"/>
      <c r="L588" s="10"/>
      <c r="M588" s="2" t="s">
        <v>653</v>
      </c>
      <c r="N588" s="28"/>
    </row>
    <row r="589" spans="1:14" ht="15.75" hidden="1" customHeight="1" x14ac:dyDescent="0.25">
      <c r="A589" s="32"/>
      <c r="B589" s="128"/>
      <c r="C589" s="10"/>
      <c r="D589" s="10"/>
      <c r="E589" s="9"/>
      <c r="F589" s="10"/>
      <c r="G589" s="9"/>
      <c r="H589" s="10"/>
      <c r="I589" s="10"/>
      <c r="J589" s="10"/>
      <c r="K589" s="10"/>
      <c r="L589" s="10"/>
      <c r="M589" s="2"/>
      <c r="N589" s="28"/>
    </row>
    <row r="590" spans="1:14" ht="15.75" hidden="1" customHeight="1" x14ac:dyDescent="0.25">
      <c r="A590" s="32"/>
      <c r="B590" s="128"/>
      <c r="C590" s="10"/>
      <c r="D590" s="10"/>
      <c r="E590" s="9"/>
      <c r="F590" s="10"/>
      <c r="G590" s="9"/>
      <c r="H590" s="10"/>
      <c r="I590" s="10"/>
      <c r="J590" s="10"/>
      <c r="K590" s="10"/>
      <c r="L590" s="10"/>
      <c r="M590" s="2"/>
      <c r="N590" s="28"/>
    </row>
    <row r="591" spans="1:14" ht="15.75" hidden="1" customHeight="1" x14ac:dyDescent="0.25">
      <c r="A591" s="32"/>
      <c r="B591" s="87"/>
      <c r="C591" s="10"/>
      <c r="D591" s="10"/>
      <c r="E591" s="9"/>
      <c r="F591" s="10"/>
      <c r="G591" s="9"/>
      <c r="H591" s="10"/>
      <c r="I591" s="10"/>
      <c r="J591" s="10"/>
      <c r="K591" s="10"/>
      <c r="L591" s="10"/>
      <c r="M591" s="2"/>
      <c r="N591" s="28"/>
    </row>
    <row r="592" spans="1:14" ht="15.75" hidden="1" customHeight="1" x14ac:dyDescent="0.25">
      <c r="A592" s="32"/>
      <c r="B592" s="87"/>
      <c r="C592" s="10"/>
      <c r="D592" s="10"/>
      <c r="E592" s="9"/>
      <c r="F592" s="10"/>
      <c r="G592" s="9"/>
      <c r="H592" s="10"/>
      <c r="I592" s="9"/>
      <c r="J592" s="9"/>
      <c r="K592" s="9"/>
      <c r="L592" s="9"/>
      <c r="M592" s="2"/>
      <c r="N592" s="28"/>
    </row>
    <row r="593" spans="1:14" ht="99.75" hidden="1" customHeight="1" x14ac:dyDescent="0.25">
      <c r="A593" s="32" t="s">
        <v>109</v>
      </c>
      <c r="B593" s="87" t="s">
        <v>110</v>
      </c>
      <c r="C593" s="10">
        <f t="shared" ref="C593:L593" si="215">C594</f>
        <v>0</v>
      </c>
      <c r="D593" s="10"/>
      <c r="E593" s="10"/>
      <c r="F593" s="10"/>
      <c r="G593" s="10">
        <f t="shared" si="215"/>
        <v>0</v>
      </c>
      <c r="H593" s="10">
        <f t="shared" si="215"/>
        <v>0</v>
      </c>
      <c r="I593" s="10"/>
      <c r="J593" s="10"/>
      <c r="K593" s="10">
        <f t="shared" si="215"/>
        <v>0</v>
      </c>
      <c r="L593" s="10">
        <f t="shared" si="215"/>
        <v>0</v>
      </c>
      <c r="M593" s="2"/>
      <c r="N593" s="28"/>
    </row>
    <row r="594" spans="1:14" ht="45" hidden="1" customHeight="1" x14ac:dyDescent="0.25">
      <c r="A594" s="32"/>
      <c r="B594" s="30" t="s">
        <v>33</v>
      </c>
      <c r="C594" s="7">
        <f>SUM(C595:C598)</f>
        <v>0</v>
      </c>
      <c r="D594" s="7"/>
      <c r="E594" s="7"/>
      <c r="F594" s="7"/>
      <c r="G594" s="7">
        <f t="shared" ref="G594:L594" si="216">SUM(G595:G598)</f>
        <v>0</v>
      </c>
      <c r="H594" s="7">
        <f t="shared" si="216"/>
        <v>0</v>
      </c>
      <c r="I594" s="7"/>
      <c r="J594" s="7"/>
      <c r="K594" s="7">
        <f t="shared" si="216"/>
        <v>0</v>
      </c>
      <c r="L594" s="7">
        <f t="shared" si="216"/>
        <v>0</v>
      </c>
      <c r="M594" s="2"/>
      <c r="N594" s="28"/>
    </row>
    <row r="595" spans="1:14" ht="15.75" hidden="1" customHeight="1" x14ac:dyDescent="0.25">
      <c r="A595" s="32"/>
      <c r="B595" s="30"/>
      <c r="C595" s="7"/>
      <c r="D595" s="7"/>
      <c r="E595" s="9"/>
      <c r="F595" s="7"/>
      <c r="G595" s="7"/>
      <c r="H595" s="7"/>
      <c r="I595" s="7"/>
      <c r="J595" s="7"/>
      <c r="K595" s="7"/>
      <c r="L595" s="7"/>
      <c r="M595" s="2"/>
      <c r="N595" s="28"/>
    </row>
    <row r="596" spans="1:14" ht="15.75" hidden="1" customHeight="1" x14ac:dyDescent="0.25">
      <c r="A596" s="32"/>
      <c r="B596" s="128"/>
      <c r="C596" s="10"/>
      <c r="D596" s="10"/>
      <c r="E596" s="9"/>
      <c r="F596" s="10"/>
      <c r="G596" s="9"/>
      <c r="H596" s="10"/>
      <c r="I596" s="10"/>
      <c r="J596" s="10"/>
      <c r="K596" s="10"/>
      <c r="L596" s="10"/>
      <c r="M596" s="2"/>
      <c r="N596" s="28"/>
    </row>
    <row r="597" spans="1:14" ht="15.75" hidden="1" customHeight="1" x14ac:dyDescent="0.25">
      <c r="A597" s="32"/>
      <c r="B597" s="128"/>
      <c r="C597" s="10"/>
      <c r="D597" s="10"/>
      <c r="E597" s="9"/>
      <c r="F597" s="10"/>
      <c r="G597" s="9">
        <v>0</v>
      </c>
      <c r="H597" s="10"/>
      <c r="I597" s="10"/>
      <c r="J597" s="10"/>
      <c r="K597" s="10"/>
      <c r="L597" s="10"/>
      <c r="M597" s="2"/>
      <c r="N597" s="28"/>
    </row>
    <row r="598" spans="1:14" ht="15.75" hidden="1" customHeight="1" x14ac:dyDescent="0.25">
      <c r="A598" s="32"/>
      <c r="B598" s="87"/>
      <c r="C598" s="10"/>
      <c r="D598" s="10"/>
      <c r="E598" s="9"/>
      <c r="F598" s="10"/>
      <c r="G598" s="9">
        <v>0</v>
      </c>
      <c r="H598" s="10"/>
      <c r="I598" s="10"/>
      <c r="J598" s="10"/>
      <c r="K598" s="10"/>
      <c r="L598" s="10"/>
      <c r="M598" s="2"/>
      <c r="N598" s="28"/>
    </row>
    <row r="599" spans="1:14" ht="71.25" x14ac:dyDescent="0.25">
      <c r="A599" s="32" t="s">
        <v>88</v>
      </c>
      <c r="B599" s="88" t="s">
        <v>87</v>
      </c>
      <c r="C599" s="10">
        <f>C600+C603+C609</f>
        <v>0</v>
      </c>
      <c r="D599" s="10"/>
      <c r="E599" s="10"/>
      <c r="F599" s="10"/>
      <c r="G599" s="10">
        <f t="shared" ref="G599:H599" si="217">G600+G603+G609</f>
        <v>400000</v>
      </c>
      <c r="H599" s="10">
        <f t="shared" si="217"/>
        <v>0</v>
      </c>
      <c r="I599" s="10"/>
      <c r="J599" s="10"/>
      <c r="K599" s="10">
        <f t="shared" ref="K599:L599" si="218">K600+K603+K609</f>
        <v>0</v>
      </c>
      <c r="L599" s="10">
        <f t="shared" si="218"/>
        <v>0</v>
      </c>
      <c r="M599" s="2"/>
      <c r="N599" s="28"/>
    </row>
    <row r="600" spans="1:14" ht="71.25" hidden="1" customHeight="1" x14ac:dyDescent="0.25">
      <c r="A600" s="32" t="s">
        <v>90</v>
      </c>
      <c r="B600" s="87" t="s">
        <v>89</v>
      </c>
      <c r="C600" s="10">
        <f>C601</f>
        <v>0</v>
      </c>
      <c r="D600" s="10"/>
      <c r="E600" s="10"/>
      <c r="F600" s="10"/>
      <c r="G600" s="10">
        <f t="shared" ref="G600:L601" si="219">G601</f>
        <v>0</v>
      </c>
      <c r="H600" s="10">
        <f t="shared" si="219"/>
        <v>0</v>
      </c>
      <c r="I600" s="10"/>
      <c r="J600" s="10"/>
      <c r="K600" s="10">
        <f t="shared" si="219"/>
        <v>0</v>
      </c>
      <c r="L600" s="10">
        <f t="shared" si="219"/>
        <v>0</v>
      </c>
      <c r="M600" s="2"/>
      <c r="N600" s="28"/>
    </row>
    <row r="601" spans="1:14" ht="15.75" hidden="1" customHeight="1" x14ac:dyDescent="0.25">
      <c r="A601" s="32"/>
      <c r="B601" s="37" t="s">
        <v>34</v>
      </c>
      <c r="C601" s="7">
        <f>C602</f>
        <v>0</v>
      </c>
      <c r="D601" s="7"/>
      <c r="E601" s="7"/>
      <c r="F601" s="7"/>
      <c r="G601" s="7">
        <f t="shared" si="219"/>
        <v>0</v>
      </c>
      <c r="H601" s="7">
        <f t="shared" si="219"/>
        <v>0</v>
      </c>
      <c r="I601" s="7"/>
      <c r="J601" s="7"/>
      <c r="K601" s="7">
        <f t="shared" si="219"/>
        <v>0</v>
      </c>
      <c r="L601" s="7">
        <f t="shared" si="219"/>
        <v>0</v>
      </c>
      <c r="M601" s="2"/>
      <c r="N601" s="28"/>
    </row>
    <row r="602" spans="1:14" ht="15.75" hidden="1" customHeight="1" x14ac:dyDescent="0.25">
      <c r="A602" s="32"/>
      <c r="B602" s="45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2"/>
      <c r="N602" s="28"/>
    </row>
    <row r="603" spans="1:14" ht="42.75" x14ac:dyDescent="0.25">
      <c r="A603" s="32" t="s">
        <v>111</v>
      </c>
      <c r="B603" s="36" t="s">
        <v>112</v>
      </c>
      <c r="C603" s="10">
        <f t="shared" ref="C603" si="220">C604+C607</f>
        <v>0</v>
      </c>
      <c r="D603" s="10"/>
      <c r="E603" s="10"/>
      <c r="F603" s="10"/>
      <c r="G603" s="10">
        <f t="shared" ref="G603:H603" si="221">G604+G607</f>
        <v>400000</v>
      </c>
      <c r="H603" s="10">
        <f t="shared" si="221"/>
        <v>0</v>
      </c>
      <c r="I603" s="10"/>
      <c r="J603" s="10"/>
      <c r="K603" s="10">
        <f t="shared" ref="K603:L603" si="222">K604+K607</f>
        <v>0</v>
      </c>
      <c r="L603" s="10">
        <f t="shared" si="222"/>
        <v>0</v>
      </c>
      <c r="M603" s="2"/>
      <c r="N603" s="28"/>
    </row>
    <row r="604" spans="1:14" ht="15.75" x14ac:dyDescent="0.25">
      <c r="A604" s="32"/>
      <c r="B604" s="37" t="s">
        <v>34</v>
      </c>
      <c r="C604" s="7">
        <f>C606+C605</f>
        <v>0</v>
      </c>
      <c r="D604" s="7"/>
      <c r="E604" s="7"/>
      <c r="F604" s="7"/>
      <c r="G604" s="7">
        <f t="shared" ref="G604:H604" si="223">G606+G605</f>
        <v>400000</v>
      </c>
      <c r="H604" s="7">
        <f t="shared" si="223"/>
        <v>0</v>
      </c>
      <c r="I604" s="7"/>
      <c r="J604" s="7"/>
      <c r="K604" s="7">
        <f t="shared" ref="K604:L604" si="224">K606+K605</f>
        <v>0</v>
      </c>
      <c r="L604" s="7">
        <f t="shared" si="224"/>
        <v>0</v>
      </c>
      <c r="M604" s="2"/>
      <c r="N604" s="28"/>
    </row>
    <row r="605" spans="1:14" ht="31.5" x14ac:dyDescent="0.25">
      <c r="A605" s="32"/>
      <c r="B605" s="45" t="s">
        <v>364</v>
      </c>
      <c r="C605" s="7"/>
      <c r="D605" s="7"/>
      <c r="E605" s="9"/>
      <c r="F605" s="7"/>
      <c r="G605" s="9">
        <v>400000</v>
      </c>
      <c r="H605" s="7"/>
      <c r="I605" s="7"/>
      <c r="J605" s="7"/>
      <c r="K605" s="7"/>
      <c r="L605" s="7"/>
      <c r="M605" s="2" t="s">
        <v>654</v>
      </c>
      <c r="N605" s="28"/>
    </row>
    <row r="606" spans="1:14" ht="15.75" hidden="1" customHeight="1" x14ac:dyDescent="0.25">
      <c r="A606" s="32"/>
      <c r="B606" s="45"/>
      <c r="C606" s="9"/>
      <c r="D606" s="9"/>
      <c r="E606" s="9"/>
      <c r="F606" s="9"/>
      <c r="G606" s="9">
        <v>0</v>
      </c>
      <c r="H606" s="9"/>
      <c r="I606" s="9"/>
      <c r="J606" s="9"/>
      <c r="K606" s="9"/>
      <c r="L606" s="9"/>
      <c r="M606" s="2"/>
      <c r="N606" s="28"/>
    </row>
    <row r="607" spans="1:14" ht="30" hidden="1" customHeight="1" x14ac:dyDescent="0.25">
      <c r="A607" s="32"/>
      <c r="B607" s="42" t="s">
        <v>77</v>
      </c>
      <c r="C607" s="9">
        <f>C608</f>
        <v>0</v>
      </c>
      <c r="D607" s="9"/>
      <c r="E607" s="9"/>
      <c r="F607" s="9"/>
      <c r="G607" s="9">
        <f t="shared" ref="G607:L607" si="225">G608</f>
        <v>0</v>
      </c>
      <c r="H607" s="9">
        <f t="shared" si="225"/>
        <v>0</v>
      </c>
      <c r="I607" s="9"/>
      <c r="J607" s="9"/>
      <c r="K607" s="9">
        <f t="shared" si="225"/>
        <v>0</v>
      </c>
      <c r="L607" s="9">
        <f t="shared" si="225"/>
        <v>0</v>
      </c>
      <c r="M607" s="2"/>
      <c r="N607" s="28"/>
    </row>
    <row r="608" spans="1:14" ht="15.75" hidden="1" customHeight="1" x14ac:dyDescent="0.25">
      <c r="A608" s="32"/>
      <c r="B608" s="42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2"/>
      <c r="N608" s="28"/>
    </row>
    <row r="609" spans="1:14" ht="85.5" hidden="1" customHeight="1" x14ac:dyDescent="0.25">
      <c r="A609" s="32" t="s">
        <v>219</v>
      </c>
      <c r="B609" s="87" t="s">
        <v>220</v>
      </c>
      <c r="C609" s="7">
        <f>C610</f>
        <v>0</v>
      </c>
      <c r="D609" s="7"/>
      <c r="E609" s="7"/>
      <c r="F609" s="7"/>
      <c r="G609" s="7">
        <f t="shared" ref="G609:L609" si="226">G610</f>
        <v>0</v>
      </c>
      <c r="H609" s="7">
        <f t="shared" si="226"/>
        <v>0</v>
      </c>
      <c r="I609" s="7"/>
      <c r="J609" s="7"/>
      <c r="K609" s="7">
        <f t="shared" si="226"/>
        <v>0</v>
      </c>
      <c r="L609" s="7">
        <f t="shared" si="226"/>
        <v>0</v>
      </c>
      <c r="M609" s="2"/>
      <c r="N609" s="28"/>
    </row>
    <row r="610" spans="1:14" ht="15.75" hidden="1" customHeight="1" x14ac:dyDescent="0.25">
      <c r="A610" s="32"/>
      <c r="B610" s="37" t="s">
        <v>34</v>
      </c>
      <c r="C610" s="7">
        <f>C611+C612+C613</f>
        <v>0</v>
      </c>
      <c r="D610" s="7"/>
      <c r="E610" s="7"/>
      <c r="F610" s="7"/>
      <c r="G610" s="7">
        <f t="shared" ref="G610:H610" si="227">G611+G612+G613</f>
        <v>0</v>
      </c>
      <c r="H610" s="7">
        <f t="shared" si="227"/>
        <v>0</v>
      </c>
      <c r="I610" s="7"/>
      <c r="J610" s="7"/>
      <c r="K610" s="7">
        <f t="shared" ref="K610:L610" si="228">K611+K612+K613</f>
        <v>0</v>
      </c>
      <c r="L610" s="7">
        <f t="shared" si="228"/>
        <v>0</v>
      </c>
      <c r="M610" s="2"/>
      <c r="N610" s="28"/>
    </row>
    <row r="611" spans="1:14" ht="15.75" hidden="1" customHeight="1" x14ac:dyDescent="0.25">
      <c r="A611" s="32"/>
      <c r="B611" s="42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2"/>
      <c r="N611" s="28"/>
    </row>
    <row r="612" spans="1:14" ht="15.75" hidden="1" customHeight="1" x14ac:dyDescent="0.25">
      <c r="A612" s="32"/>
      <c r="B612" s="42"/>
      <c r="C612" s="7"/>
      <c r="D612" s="7"/>
      <c r="E612" s="9"/>
      <c r="F612" s="7"/>
      <c r="G612" s="9"/>
      <c r="H612" s="7"/>
      <c r="I612" s="7"/>
      <c r="J612" s="7"/>
      <c r="K612" s="7"/>
      <c r="L612" s="7"/>
      <c r="M612" s="2"/>
      <c r="N612" s="28"/>
    </row>
    <row r="613" spans="1:14" ht="15.75" hidden="1" customHeight="1" x14ac:dyDescent="0.25">
      <c r="A613" s="32"/>
      <c r="B613" s="45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2"/>
      <c r="N613" s="28"/>
    </row>
    <row r="614" spans="1:14" ht="57" hidden="1" customHeight="1" x14ac:dyDescent="0.25">
      <c r="A614" s="32" t="s">
        <v>93</v>
      </c>
      <c r="B614" s="88" t="s">
        <v>91</v>
      </c>
      <c r="C614" s="10">
        <f>C615+C626+C622</f>
        <v>0</v>
      </c>
      <c r="D614" s="10"/>
      <c r="E614" s="10"/>
      <c r="F614" s="10"/>
      <c r="G614" s="10">
        <f t="shared" ref="G614:L614" si="229">G615+G626+G622</f>
        <v>0</v>
      </c>
      <c r="H614" s="10">
        <f t="shared" si="229"/>
        <v>0</v>
      </c>
      <c r="I614" s="10"/>
      <c r="J614" s="10"/>
      <c r="K614" s="10">
        <f t="shared" si="229"/>
        <v>0</v>
      </c>
      <c r="L614" s="10">
        <f t="shared" si="229"/>
        <v>20000</v>
      </c>
      <c r="M614" s="2"/>
      <c r="N614" s="28"/>
    </row>
    <row r="615" spans="1:14" ht="99.75" hidden="1" customHeight="1" x14ac:dyDescent="0.25">
      <c r="A615" s="32" t="s">
        <v>94</v>
      </c>
      <c r="B615" s="87" t="s">
        <v>92</v>
      </c>
      <c r="C615" s="10">
        <f>C616+C619</f>
        <v>0</v>
      </c>
      <c r="D615" s="10"/>
      <c r="E615" s="10"/>
      <c r="F615" s="10"/>
      <c r="G615" s="10">
        <f t="shared" ref="G615:H615" si="230">G616+G619</f>
        <v>0</v>
      </c>
      <c r="H615" s="10">
        <f t="shared" si="230"/>
        <v>0</v>
      </c>
      <c r="I615" s="10"/>
      <c r="J615" s="10"/>
      <c r="K615" s="10">
        <f t="shared" ref="K615:L615" si="231">K616+K619</f>
        <v>0</v>
      </c>
      <c r="L615" s="10">
        <f t="shared" si="231"/>
        <v>20000</v>
      </c>
      <c r="M615" s="2"/>
      <c r="N615" s="28"/>
    </row>
    <row r="616" spans="1:14" ht="15.75" hidden="1" customHeight="1" x14ac:dyDescent="0.25">
      <c r="A616" s="32"/>
      <c r="B616" s="37" t="s">
        <v>34</v>
      </c>
      <c r="C616" s="7">
        <f t="shared" ref="C616" si="232">SUM(C617:C618)</f>
        <v>0</v>
      </c>
      <c r="D616" s="7"/>
      <c r="E616" s="7"/>
      <c r="F616" s="7"/>
      <c r="G616" s="7">
        <f t="shared" ref="G616:H616" si="233">SUM(G617:G618)</f>
        <v>0</v>
      </c>
      <c r="H616" s="7">
        <f t="shared" si="233"/>
        <v>0</v>
      </c>
      <c r="I616" s="7"/>
      <c r="J616" s="7"/>
      <c r="K616" s="7">
        <f t="shared" ref="K616:L616" si="234">SUM(K617:K618)</f>
        <v>0</v>
      </c>
      <c r="L616" s="7">
        <f t="shared" si="234"/>
        <v>0</v>
      </c>
      <c r="M616" s="2"/>
      <c r="N616" s="28"/>
    </row>
    <row r="617" spans="1:14" ht="15.75" hidden="1" customHeight="1" x14ac:dyDescent="0.25">
      <c r="A617" s="32"/>
      <c r="B617" s="45"/>
      <c r="C617" s="7"/>
      <c r="D617" s="7"/>
      <c r="E617" s="9"/>
      <c r="F617" s="7"/>
      <c r="G617" s="9"/>
      <c r="H617" s="7"/>
      <c r="I617" s="7"/>
      <c r="J617" s="7"/>
      <c r="K617" s="7"/>
      <c r="L617" s="7"/>
      <c r="M617" s="2"/>
      <c r="N617" s="28"/>
    </row>
    <row r="618" spans="1:14" ht="15.75" hidden="1" customHeight="1" x14ac:dyDescent="0.25">
      <c r="A618" s="32"/>
      <c r="B618" s="45"/>
      <c r="C618" s="10"/>
      <c r="D618" s="10"/>
      <c r="E618" s="9"/>
      <c r="F618" s="9"/>
      <c r="G618" s="9"/>
      <c r="H618" s="9"/>
      <c r="I618" s="10"/>
      <c r="J618" s="10"/>
      <c r="K618" s="10"/>
      <c r="L618" s="10"/>
      <c r="M618" s="2"/>
      <c r="N618" s="28"/>
    </row>
    <row r="619" spans="1:14" ht="30" hidden="1" customHeight="1" x14ac:dyDescent="0.25">
      <c r="A619" s="32"/>
      <c r="B619" s="37" t="s">
        <v>77</v>
      </c>
      <c r="C619" s="10">
        <f>C620</f>
        <v>0</v>
      </c>
      <c r="D619" s="10"/>
      <c r="E619" s="10"/>
      <c r="F619" s="10"/>
      <c r="G619" s="10">
        <f t="shared" ref="G619:L619" si="235">G620</f>
        <v>0</v>
      </c>
      <c r="H619" s="10">
        <f t="shared" si="235"/>
        <v>0</v>
      </c>
      <c r="I619" s="10"/>
      <c r="J619" s="10"/>
      <c r="K619" s="10">
        <f t="shared" si="235"/>
        <v>0</v>
      </c>
      <c r="L619" s="10">
        <f t="shared" si="235"/>
        <v>20000</v>
      </c>
      <c r="M619" s="2"/>
      <c r="N619" s="28"/>
    </row>
    <row r="620" spans="1:14" ht="47.25" hidden="1" customHeight="1" x14ac:dyDescent="0.25">
      <c r="A620" s="32"/>
      <c r="B620" s="45"/>
      <c r="C620" s="10"/>
      <c r="D620" s="10"/>
      <c r="E620" s="9"/>
      <c r="F620" s="9"/>
      <c r="G620" s="9"/>
      <c r="H620" s="9"/>
      <c r="I620" s="10"/>
      <c r="J620" s="9"/>
      <c r="K620" s="7"/>
      <c r="L620" s="7">
        <v>20000</v>
      </c>
      <c r="M620" s="2" t="s">
        <v>354</v>
      </c>
      <c r="N620" s="28"/>
    </row>
    <row r="621" spans="1:14" ht="15.75" hidden="1" customHeight="1" x14ac:dyDescent="0.25">
      <c r="A621" s="32"/>
      <c r="B621" s="45"/>
      <c r="C621" s="10"/>
      <c r="D621" s="10"/>
      <c r="E621" s="9"/>
      <c r="F621" s="9"/>
      <c r="G621" s="9"/>
      <c r="H621" s="9"/>
      <c r="I621" s="10"/>
      <c r="J621" s="10"/>
      <c r="K621" s="10"/>
      <c r="L621" s="10"/>
      <c r="M621" s="2"/>
      <c r="N621" s="28"/>
    </row>
    <row r="622" spans="1:14" ht="85.5" hidden="1" customHeight="1" x14ac:dyDescent="0.25">
      <c r="A622" s="32" t="s">
        <v>333</v>
      </c>
      <c r="B622" s="87" t="s">
        <v>334</v>
      </c>
      <c r="C622" s="10">
        <f>C623</f>
        <v>0</v>
      </c>
      <c r="D622" s="10"/>
      <c r="E622" s="10"/>
      <c r="F622" s="10"/>
      <c r="G622" s="10">
        <f t="shared" ref="G622:L623" si="236">G623</f>
        <v>0</v>
      </c>
      <c r="H622" s="10">
        <f t="shared" si="236"/>
        <v>0</v>
      </c>
      <c r="I622" s="10"/>
      <c r="J622" s="10"/>
      <c r="K622" s="10">
        <f t="shared" si="236"/>
        <v>0</v>
      </c>
      <c r="L622" s="10">
        <f t="shared" si="236"/>
        <v>0</v>
      </c>
      <c r="M622" s="2"/>
      <c r="N622" s="28"/>
    </row>
    <row r="623" spans="1:14" ht="30" hidden="1" customHeight="1" x14ac:dyDescent="0.25">
      <c r="A623" s="32"/>
      <c r="B623" s="37" t="s">
        <v>77</v>
      </c>
      <c r="C623" s="7">
        <f>C624</f>
        <v>0</v>
      </c>
      <c r="D623" s="7"/>
      <c r="E623" s="7"/>
      <c r="F623" s="7"/>
      <c r="G623" s="7">
        <f t="shared" si="236"/>
        <v>0</v>
      </c>
      <c r="H623" s="7">
        <f t="shared" si="236"/>
        <v>0</v>
      </c>
      <c r="I623" s="7"/>
      <c r="J623" s="7"/>
      <c r="K623" s="7">
        <f t="shared" si="236"/>
        <v>0</v>
      </c>
      <c r="L623" s="7">
        <f t="shared" si="236"/>
        <v>0</v>
      </c>
      <c r="M623" s="2"/>
      <c r="N623" s="28"/>
    </row>
    <row r="624" spans="1:14" ht="15.75" hidden="1" customHeight="1" x14ac:dyDescent="0.25">
      <c r="A624" s="32"/>
      <c r="B624" s="45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2"/>
      <c r="N624" s="28"/>
    </row>
    <row r="625" spans="1:14" ht="15.75" hidden="1" customHeight="1" x14ac:dyDescent="0.25">
      <c r="A625" s="32"/>
      <c r="B625" s="45"/>
      <c r="C625" s="10"/>
      <c r="D625" s="10"/>
      <c r="E625" s="9"/>
      <c r="F625" s="9"/>
      <c r="G625" s="9"/>
      <c r="H625" s="9"/>
      <c r="I625" s="10"/>
      <c r="J625" s="10"/>
      <c r="K625" s="10"/>
      <c r="L625" s="10"/>
      <c r="M625" s="2"/>
      <c r="N625" s="28"/>
    </row>
    <row r="626" spans="1:14" ht="71.25" hidden="1" customHeight="1" x14ac:dyDescent="0.25">
      <c r="A626" s="32" t="s">
        <v>150</v>
      </c>
      <c r="B626" s="36" t="s">
        <v>151</v>
      </c>
      <c r="C626" s="10">
        <f>C627</f>
        <v>0</v>
      </c>
      <c r="D626" s="10"/>
      <c r="E626" s="10"/>
      <c r="F626" s="10"/>
      <c r="G626" s="10">
        <f t="shared" ref="G626:L626" si="237">G627</f>
        <v>0</v>
      </c>
      <c r="H626" s="10">
        <f t="shared" si="237"/>
        <v>0</v>
      </c>
      <c r="I626" s="10"/>
      <c r="J626" s="10"/>
      <c r="K626" s="10">
        <f t="shared" si="237"/>
        <v>0</v>
      </c>
      <c r="L626" s="10">
        <f t="shared" si="237"/>
        <v>0</v>
      </c>
      <c r="M626" s="2"/>
      <c r="N626" s="28"/>
    </row>
    <row r="627" spans="1:14" ht="30" hidden="1" customHeight="1" x14ac:dyDescent="0.25">
      <c r="A627" s="32"/>
      <c r="B627" s="37" t="s">
        <v>77</v>
      </c>
      <c r="C627" s="7">
        <f>C628</f>
        <v>0</v>
      </c>
      <c r="D627" s="7"/>
      <c r="E627" s="7"/>
      <c r="F627" s="7"/>
      <c r="G627" s="7">
        <f t="shared" ref="G627:L627" si="238">G628</f>
        <v>0</v>
      </c>
      <c r="H627" s="7">
        <f t="shared" si="238"/>
        <v>0</v>
      </c>
      <c r="I627" s="7"/>
      <c r="J627" s="7"/>
      <c r="K627" s="7">
        <f t="shared" si="238"/>
        <v>0</v>
      </c>
      <c r="L627" s="7">
        <f t="shared" si="238"/>
        <v>0</v>
      </c>
      <c r="M627" s="2"/>
      <c r="N627" s="28"/>
    </row>
    <row r="628" spans="1:14" ht="15.75" hidden="1" customHeight="1" x14ac:dyDescent="0.25">
      <c r="A628" s="32"/>
      <c r="B628" s="45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2"/>
      <c r="N628" s="28"/>
    </row>
    <row r="629" spans="1:14" ht="15.75" x14ac:dyDescent="0.25">
      <c r="A629" s="32" t="s">
        <v>199</v>
      </c>
      <c r="B629" s="33" t="s">
        <v>43</v>
      </c>
      <c r="C629" s="10">
        <f>C630+C642+C657+C668+C691+C748+C764+C775+C802+C805+C808+C811+C796+C794+C663+C732+C637+C647+C652+C655+C675+C678+C686+C738+C742+C754+C758+C761+C767+C772+C786+C799+C814+C816+C819+C826</f>
        <v>1000000</v>
      </c>
      <c r="D629" s="10"/>
      <c r="E629" s="10"/>
      <c r="F629" s="10"/>
      <c r="G629" s="10">
        <f>G630+G642+G657+G668+G691+G748+G764+G775+G802+G805+G808+G811+G796+G794+G663+G732+G637+G647+G652+G655+G675+G678+G686+G738+G742+G754+G758+G761+G767+G772+G786+G799+G814+G816+G819+G826</f>
        <v>93330863</v>
      </c>
      <c r="H629" s="10">
        <f>H630+H642+H657+H668+H691+H748+H764+H775+H802+H805+H808+H811+H796+H794+H663+H732+H637+H647+H652+H655+H675+H678+H686+H738+H742+H754+H758+H761+H767+H772+H786+H799+H814+H816+H819+H826</f>
        <v>3435000</v>
      </c>
      <c r="I629" s="10"/>
      <c r="J629" s="10"/>
      <c r="K629" s="10">
        <f>K630+K642+K657+K668+K691+K748+K764+K775+K802+K805+K808+K811+K796+K794+K663+K732+K637+K647+K652+K655+K675+K678+K686+K738+K742+K754+K758+K761+K767+K772+K786+K799+K814+K816+K819+K826</f>
        <v>31195511</v>
      </c>
      <c r="L629" s="10">
        <f>L630+L642+L657+L668+L691+L748+L764+L775+L802+L805+L808+L811+L796+L794+L663+L732+L637+L647+L652+L655+L675+L678+L686+L738+L742+L754+L758+L761+L767+L772+L786+L799+L814+L816+L819+L826</f>
        <v>26007443</v>
      </c>
      <c r="M629" s="2"/>
      <c r="N629" s="28"/>
    </row>
    <row r="630" spans="1:14" ht="45" x14ac:dyDescent="0.25">
      <c r="A630" s="32"/>
      <c r="B630" s="30" t="s">
        <v>44</v>
      </c>
      <c r="C630" s="7">
        <f>SUM(C631:C636)</f>
        <v>0</v>
      </c>
      <c r="D630" s="7"/>
      <c r="E630" s="7"/>
      <c r="F630" s="7"/>
      <c r="G630" s="7">
        <f>SUM(G631:G636)</f>
        <v>1859000</v>
      </c>
      <c r="H630" s="7">
        <f t="shared" ref="H630:L630" si="239">SUM(H631:H636)</f>
        <v>0</v>
      </c>
      <c r="I630" s="7"/>
      <c r="J630" s="7"/>
      <c r="K630" s="7">
        <f t="shared" si="239"/>
        <v>1969771</v>
      </c>
      <c r="L630" s="7">
        <f t="shared" si="239"/>
        <v>71371</v>
      </c>
      <c r="M630" s="2"/>
      <c r="N630" s="28"/>
    </row>
    <row r="631" spans="1:14" ht="47.25" hidden="1" customHeight="1" x14ac:dyDescent="0.25">
      <c r="A631" s="32"/>
      <c r="B631" s="45"/>
      <c r="C631" s="9"/>
      <c r="D631" s="9"/>
      <c r="E631" s="5"/>
      <c r="F631" s="5"/>
      <c r="G631" s="5"/>
      <c r="H631" s="5"/>
      <c r="I631" s="5"/>
      <c r="J631" s="5"/>
      <c r="K631" s="5">
        <v>1898400</v>
      </c>
      <c r="L631" s="5"/>
      <c r="M631" s="2" t="s">
        <v>329</v>
      </c>
      <c r="N631" s="28"/>
    </row>
    <row r="632" spans="1:14" ht="47.25" x14ac:dyDescent="0.25">
      <c r="A632" s="32"/>
      <c r="B632" s="45"/>
      <c r="C632" s="9"/>
      <c r="D632" s="9"/>
      <c r="E632" s="5"/>
      <c r="F632" s="5"/>
      <c r="G632" s="5">
        <v>1859000</v>
      </c>
      <c r="H632" s="5"/>
      <c r="I632" s="5"/>
      <c r="J632" s="5"/>
      <c r="K632" s="5"/>
      <c r="L632" s="5"/>
      <c r="M632" s="2" t="s">
        <v>330</v>
      </c>
      <c r="N632" s="28"/>
    </row>
    <row r="633" spans="1:14" ht="15.75" hidden="1" customHeight="1" x14ac:dyDescent="0.25">
      <c r="A633" s="32"/>
      <c r="B633" s="45"/>
      <c r="C633" s="9"/>
      <c r="D633" s="9"/>
      <c r="E633" s="5"/>
      <c r="F633" s="5"/>
      <c r="G633" s="5"/>
      <c r="H633" s="5"/>
      <c r="I633" s="5"/>
      <c r="J633" s="5"/>
      <c r="K633" s="5"/>
      <c r="L633" s="5"/>
      <c r="M633" s="2"/>
      <c r="N633" s="28"/>
    </row>
    <row r="634" spans="1:14" ht="31.5" hidden="1" customHeight="1" x14ac:dyDescent="0.25">
      <c r="A634" s="32"/>
      <c r="B634" s="45"/>
      <c r="C634" s="9"/>
      <c r="D634" s="9"/>
      <c r="E634" s="5"/>
      <c r="F634" s="5"/>
      <c r="G634" s="5"/>
      <c r="H634" s="5"/>
      <c r="I634" s="5"/>
      <c r="J634" s="5"/>
      <c r="K634" s="5">
        <v>11371</v>
      </c>
      <c r="L634" s="5">
        <v>11371</v>
      </c>
      <c r="M634" s="2" t="s">
        <v>365</v>
      </c>
      <c r="N634" s="28"/>
    </row>
    <row r="635" spans="1:14" ht="15.75" hidden="1" customHeight="1" x14ac:dyDescent="0.25">
      <c r="A635" s="32"/>
      <c r="B635" s="45"/>
      <c r="C635" s="9"/>
      <c r="D635" s="9"/>
      <c r="E635" s="5"/>
      <c r="F635" s="5"/>
      <c r="G635" s="5">
        <v>0</v>
      </c>
      <c r="H635" s="5"/>
      <c r="I635" s="5"/>
      <c r="J635" s="5"/>
      <c r="K635" s="5"/>
      <c r="L635" s="5"/>
      <c r="M635" s="2"/>
      <c r="N635" s="28"/>
    </row>
    <row r="636" spans="1:14" ht="15.75" hidden="1" customHeight="1" x14ac:dyDescent="0.25">
      <c r="A636" s="32"/>
      <c r="B636" s="45"/>
      <c r="C636" s="9"/>
      <c r="D636" s="9"/>
      <c r="E636" s="5"/>
      <c r="F636" s="5"/>
      <c r="G636" s="5"/>
      <c r="H636" s="5"/>
      <c r="I636" s="5"/>
      <c r="J636" s="5"/>
      <c r="K636" s="5">
        <v>60000</v>
      </c>
      <c r="L636" s="5">
        <v>60000</v>
      </c>
      <c r="M636" s="2" t="s">
        <v>366</v>
      </c>
      <c r="N636" s="28"/>
    </row>
    <row r="637" spans="1:14" ht="30" x14ac:dyDescent="0.25">
      <c r="A637" s="32"/>
      <c r="B637" s="30" t="s">
        <v>3</v>
      </c>
      <c r="C637" s="9">
        <f>SUM(C638:C641)</f>
        <v>0</v>
      </c>
      <c r="D637" s="9"/>
      <c r="E637" s="9"/>
      <c r="F637" s="9"/>
      <c r="G637" s="9">
        <f t="shared" ref="G637:L637" si="240">SUM(G638:G641)</f>
        <v>80000</v>
      </c>
      <c r="H637" s="9">
        <f t="shared" si="240"/>
        <v>0</v>
      </c>
      <c r="I637" s="9"/>
      <c r="J637" s="9"/>
      <c r="K637" s="9">
        <f t="shared" si="240"/>
        <v>0</v>
      </c>
      <c r="L637" s="9">
        <f t="shared" si="240"/>
        <v>0</v>
      </c>
      <c r="M637" s="2"/>
      <c r="N637" s="28"/>
    </row>
    <row r="638" spans="1:14" ht="15.75" hidden="1" customHeight="1" x14ac:dyDescent="0.25">
      <c r="A638" s="32"/>
      <c r="B638" s="45"/>
      <c r="C638" s="9"/>
      <c r="D638" s="9"/>
      <c r="E638" s="5"/>
      <c r="F638" s="5"/>
      <c r="G638" s="5"/>
      <c r="H638" s="5"/>
      <c r="I638" s="5"/>
      <c r="J638" s="5"/>
      <c r="K638" s="5"/>
      <c r="L638" s="5"/>
      <c r="M638" s="2"/>
      <c r="N638" s="28"/>
    </row>
    <row r="639" spans="1:14" ht="15.75" x14ac:dyDescent="0.25">
      <c r="A639" s="32"/>
      <c r="B639" s="45"/>
      <c r="C639" s="9"/>
      <c r="D639" s="9"/>
      <c r="E639" s="5"/>
      <c r="F639" s="5"/>
      <c r="G639" s="5">
        <v>80000</v>
      </c>
      <c r="H639" s="5"/>
      <c r="I639" s="5"/>
      <c r="J639" s="5"/>
      <c r="K639" s="5"/>
      <c r="L639" s="5"/>
      <c r="M639" s="2" t="s">
        <v>521</v>
      </c>
      <c r="N639" s="28"/>
    </row>
    <row r="640" spans="1:14" ht="15.75" hidden="1" customHeight="1" x14ac:dyDescent="0.25">
      <c r="A640" s="32"/>
      <c r="B640" s="45"/>
      <c r="C640" s="9"/>
      <c r="D640" s="9"/>
      <c r="E640" s="5"/>
      <c r="F640" s="5"/>
      <c r="G640" s="5"/>
      <c r="H640" s="5"/>
      <c r="I640" s="5"/>
      <c r="J640" s="5"/>
      <c r="K640" s="5"/>
      <c r="L640" s="5"/>
      <c r="M640" s="2"/>
      <c r="N640" s="28"/>
    </row>
    <row r="641" spans="1:14" ht="15.75" hidden="1" customHeight="1" x14ac:dyDescent="0.25">
      <c r="A641" s="32"/>
      <c r="B641" s="45"/>
      <c r="C641" s="9"/>
      <c r="D641" s="9"/>
      <c r="E641" s="5"/>
      <c r="F641" s="5"/>
      <c r="G641" s="5"/>
      <c r="H641" s="5"/>
      <c r="I641" s="5"/>
      <c r="J641" s="5"/>
      <c r="K641" s="5"/>
      <c r="L641" s="5"/>
      <c r="M641" s="2"/>
      <c r="N641" s="28"/>
    </row>
    <row r="642" spans="1:14" ht="30" hidden="1" customHeight="1" x14ac:dyDescent="0.25">
      <c r="A642" s="32"/>
      <c r="B642" s="30" t="s">
        <v>49</v>
      </c>
      <c r="C642" s="7">
        <f>SUM(C643:C646)</f>
        <v>0</v>
      </c>
      <c r="D642" s="7"/>
      <c r="E642" s="7"/>
      <c r="F642" s="7"/>
      <c r="G642" s="7">
        <f t="shared" ref="G642:L642" si="241">SUM(G643:G646)</f>
        <v>0</v>
      </c>
      <c r="H642" s="7">
        <f t="shared" si="241"/>
        <v>0</v>
      </c>
      <c r="I642" s="7"/>
      <c r="J642" s="7"/>
      <c r="K642" s="7">
        <f t="shared" si="241"/>
        <v>18300</v>
      </c>
      <c r="L642" s="7">
        <f t="shared" si="241"/>
        <v>18300</v>
      </c>
      <c r="M642" s="2"/>
      <c r="N642" s="28"/>
    </row>
    <row r="643" spans="1:14" ht="15.75" hidden="1" customHeight="1" x14ac:dyDescent="0.25">
      <c r="A643" s="32"/>
      <c r="B643" s="30"/>
      <c r="C643" s="7"/>
      <c r="D643" s="7"/>
      <c r="E643" s="9"/>
      <c r="F643" s="7"/>
      <c r="G643" s="9"/>
      <c r="H643" s="7"/>
      <c r="I643" s="7"/>
      <c r="J643" s="7"/>
      <c r="K643" s="7"/>
      <c r="L643" s="7"/>
      <c r="M643" s="2"/>
      <c r="N643" s="28"/>
    </row>
    <row r="644" spans="1:14" ht="15.75" hidden="1" customHeight="1" x14ac:dyDescent="0.25">
      <c r="A644" s="32"/>
      <c r="B644" s="30"/>
      <c r="C644" s="7"/>
      <c r="D644" s="7"/>
      <c r="E644" s="9"/>
      <c r="F644" s="7"/>
      <c r="G644" s="9"/>
      <c r="H644" s="7"/>
      <c r="I644" s="7"/>
      <c r="J644" s="7"/>
      <c r="K644" s="7"/>
      <c r="L644" s="7"/>
      <c r="M644" s="2"/>
      <c r="N644" s="28"/>
    </row>
    <row r="645" spans="1:14" ht="31.5" hidden="1" customHeight="1" x14ac:dyDescent="0.25">
      <c r="A645" s="32"/>
      <c r="B645" s="30"/>
      <c r="C645" s="7"/>
      <c r="D645" s="7"/>
      <c r="E645" s="7"/>
      <c r="F645" s="7"/>
      <c r="G645" s="7"/>
      <c r="H645" s="7"/>
      <c r="I645" s="9"/>
      <c r="J645" s="9"/>
      <c r="K645" s="9">
        <v>18300</v>
      </c>
      <c r="L645" s="9">
        <v>18300</v>
      </c>
      <c r="M645" s="2" t="s">
        <v>365</v>
      </c>
      <c r="N645" s="28"/>
    </row>
    <row r="646" spans="1:14" ht="15.75" hidden="1" customHeight="1" x14ac:dyDescent="0.25">
      <c r="A646" s="32"/>
      <c r="B646" s="3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2"/>
      <c r="N646" s="28"/>
    </row>
    <row r="647" spans="1:14" ht="33.75" customHeight="1" x14ac:dyDescent="0.25">
      <c r="A647" s="32"/>
      <c r="B647" s="30" t="s">
        <v>33</v>
      </c>
      <c r="C647" s="7">
        <f>SUM(C648:C651)</f>
        <v>0</v>
      </c>
      <c r="D647" s="7"/>
      <c r="E647" s="7"/>
      <c r="F647" s="7"/>
      <c r="G647" s="7">
        <f t="shared" ref="G647:L647" si="242">SUM(G648:G651)</f>
        <v>200000</v>
      </c>
      <c r="H647" s="7">
        <f t="shared" si="242"/>
        <v>424000</v>
      </c>
      <c r="I647" s="7"/>
      <c r="J647" s="7"/>
      <c r="K647" s="7">
        <f t="shared" si="242"/>
        <v>0</v>
      </c>
      <c r="L647" s="7">
        <f t="shared" si="242"/>
        <v>0</v>
      </c>
      <c r="M647" s="2"/>
      <c r="N647" s="28"/>
    </row>
    <row r="648" spans="1:14" ht="15.75" x14ac:dyDescent="0.25">
      <c r="A648" s="32"/>
      <c r="B648" s="30"/>
      <c r="C648" s="7"/>
      <c r="D648" s="7"/>
      <c r="E648" s="9"/>
      <c r="F648" s="7"/>
      <c r="G648" s="9">
        <v>200000</v>
      </c>
      <c r="H648" s="7"/>
      <c r="I648" s="7"/>
      <c r="J648" s="7"/>
      <c r="K648" s="7"/>
      <c r="L648" s="7"/>
      <c r="M648" s="2" t="s">
        <v>367</v>
      </c>
      <c r="N648" s="28"/>
    </row>
    <row r="649" spans="1:14" ht="15.75" hidden="1" customHeight="1" x14ac:dyDescent="0.25">
      <c r="A649" s="32"/>
      <c r="B649" s="30"/>
      <c r="C649" s="7"/>
      <c r="D649" s="7"/>
      <c r="E649" s="9"/>
      <c r="F649" s="7"/>
      <c r="G649" s="7">
        <v>0</v>
      </c>
      <c r="H649" s="7"/>
      <c r="I649" s="7"/>
      <c r="J649" s="7"/>
      <c r="K649" s="7"/>
      <c r="L649" s="7"/>
      <c r="M649" s="2"/>
      <c r="N649" s="28"/>
    </row>
    <row r="650" spans="1:14" ht="63" x14ac:dyDescent="0.25">
      <c r="A650" s="32"/>
      <c r="B650" s="30"/>
      <c r="C650" s="7"/>
      <c r="D650" s="7"/>
      <c r="E650" s="7"/>
      <c r="F650" s="9"/>
      <c r="G650" s="7"/>
      <c r="H650" s="9">
        <f>326000+98000</f>
        <v>424000</v>
      </c>
      <c r="I650" s="7"/>
      <c r="J650" s="7"/>
      <c r="K650" s="7"/>
      <c r="L650" s="7"/>
      <c r="M650" s="2" t="s">
        <v>673</v>
      </c>
      <c r="N650" s="28"/>
    </row>
    <row r="651" spans="1:14" ht="15.75" hidden="1" customHeight="1" x14ac:dyDescent="0.25">
      <c r="A651" s="32"/>
      <c r="B651" s="30"/>
      <c r="C651" s="7"/>
      <c r="D651" s="7"/>
      <c r="E651" s="9"/>
      <c r="F651" s="7"/>
      <c r="G651" s="7"/>
      <c r="H651" s="7"/>
      <c r="I651" s="7"/>
      <c r="J651" s="7"/>
      <c r="K651" s="7"/>
      <c r="L651" s="7"/>
      <c r="M651" s="2"/>
      <c r="N651" s="28"/>
    </row>
    <row r="652" spans="1:14" ht="63.75" customHeight="1" x14ac:dyDescent="0.25">
      <c r="A652" s="32"/>
      <c r="B652" s="30" t="s">
        <v>368</v>
      </c>
      <c r="C652" s="7">
        <f>C653+C654</f>
        <v>0</v>
      </c>
      <c r="D652" s="7"/>
      <c r="E652" s="7"/>
      <c r="F652" s="7"/>
      <c r="G652" s="7">
        <f t="shared" ref="G652:L652" si="243">G653+G654</f>
        <v>210000</v>
      </c>
      <c r="H652" s="7">
        <f t="shared" si="243"/>
        <v>0</v>
      </c>
      <c r="I652" s="7"/>
      <c r="J652" s="7"/>
      <c r="K652" s="7">
        <f t="shared" si="243"/>
        <v>0</v>
      </c>
      <c r="L652" s="7">
        <f t="shared" si="243"/>
        <v>0</v>
      </c>
      <c r="M652" s="2"/>
      <c r="N652" s="28"/>
    </row>
    <row r="653" spans="1:14" ht="15.75" hidden="1" customHeight="1" x14ac:dyDescent="0.25">
      <c r="A653" s="32"/>
      <c r="B653" s="30"/>
      <c r="C653" s="7"/>
      <c r="D653" s="7"/>
      <c r="E653" s="9"/>
      <c r="F653" s="9"/>
      <c r="G653" s="9"/>
      <c r="H653" s="7"/>
      <c r="I653" s="7"/>
      <c r="J653" s="7"/>
      <c r="K653" s="7"/>
      <c r="L653" s="7"/>
      <c r="M653" s="2"/>
      <c r="N653" s="28"/>
    </row>
    <row r="654" spans="1:14" ht="15.75" x14ac:dyDescent="0.25">
      <c r="A654" s="32"/>
      <c r="B654" s="30"/>
      <c r="C654" s="7"/>
      <c r="D654" s="7"/>
      <c r="E654" s="9"/>
      <c r="F654" s="9"/>
      <c r="G654" s="9">
        <v>210000</v>
      </c>
      <c r="H654" s="7"/>
      <c r="I654" s="7"/>
      <c r="J654" s="7"/>
      <c r="K654" s="7"/>
      <c r="L654" s="7"/>
      <c r="M654" s="2" t="s">
        <v>655</v>
      </c>
      <c r="N654" s="28"/>
    </row>
    <row r="655" spans="1:14" ht="30" hidden="1" customHeight="1" x14ac:dyDescent="0.25">
      <c r="A655" s="32"/>
      <c r="B655" s="30" t="s">
        <v>369</v>
      </c>
      <c r="C655" s="7">
        <f>C656</f>
        <v>0</v>
      </c>
      <c r="D655" s="7"/>
      <c r="E655" s="7"/>
      <c r="F655" s="7"/>
      <c r="G655" s="7">
        <f t="shared" ref="G655:L655" si="244">G656</f>
        <v>0</v>
      </c>
      <c r="H655" s="7">
        <f t="shared" si="244"/>
        <v>0</v>
      </c>
      <c r="I655" s="7"/>
      <c r="J655" s="7"/>
      <c r="K655" s="7">
        <f t="shared" si="244"/>
        <v>0</v>
      </c>
      <c r="L655" s="7">
        <f t="shared" si="244"/>
        <v>0</v>
      </c>
      <c r="M655" s="2"/>
      <c r="N655" s="28"/>
    </row>
    <row r="656" spans="1:14" ht="31.5" hidden="1" customHeight="1" x14ac:dyDescent="0.25">
      <c r="A656" s="32"/>
      <c r="B656" s="30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2" t="s">
        <v>340</v>
      </c>
      <c r="N656" s="28"/>
    </row>
    <row r="657" spans="1:14" ht="63.75" customHeight="1" x14ac:dyDescent="0.25">
      <c r="A657" s="32"/>
      <c r="B657" s="30" t="s">
        <v>154</v>
      </c>
      <c r="C657" s="7">
        <f>SUM(C658:C661)</f>
        <v>0</v>
      </c>
      <c r="D657" s="7"/>
      <c r="E657" s="7"/>
      <c r="F657" s="7"/>
      <c r="G657" s="7">
        <f t="shared" ref="G657:L657" si="245">SUM(G658:G661)</f>
        <v>0</v>
      </c>
      <c r="H657" s="7">
        <f t="shared" si="245"/>
        <v>2128000</v>
      </c>
      <c r="I657" s="7"/>
      <c r="J657" s="7"/>
      <c r="K657" s="7">
        <f t="shared" si="245"/>
        <v>1250000</v>
      </c>
      <c r="L657" s="7">
        <f t="shared" si="245"/>
        <v>0</v>
      </c>
      <c r="M657" s="2"/>
      <c r="N657" s="28"/>
    </row>
    <row r="658" spans="1:14" ht="94.5" hidden="1" customHeight="1" x14ac:dyDescent="0.25">
      <c r="A658" s="32"/>
      <c r="B658" s="30"/>
      <c r="C658" s="7"/>
      <c r="D658" s="7"/>
      <c r="E658" s="9"/>
      <c r="F658" s="9"/>
      <c r="G658" s="9"/>
      <c r="H658" s="9"/>
      <c r="I658" s="9"/>
      <c r="J658" s="9"/>
      <c r="K658" s="9">
        <v>1250000</v>
      </c>
      <c r="L658" s="9"/>
      <c r="M658" s="2" t="s">
        <v>370</v>
      </c>
      <c r="N658" s="28"/>
    </row>
    <row r="659" spans="1:14" ht="15.75" hidden="1" customHeight="1" x14ac:dyDescent="0.25">
      <c r="A659" s="32"/>
      <c r="B659" s="30"/>
      <c r="C659" s="7"/>
      <c r="D659" s="7"/>
      <c r="E659" s="9"/>
      <c r="F659" s="9"/>
      <c r="G659" s="9"/>
      <c r="H659" s="9"/>
      <c r="I659" s="9"/>
      <c r="J659" s="9"/>
      <c r="K659" s="9"/>
      <c r="L659" s="9"/>
      <c r="M659" s="2"/>
      <c r="N659" s="28"/>
    </row>
    <row r="660" spans="1:14" ht="63" x14ac:dyDescent="0.25">
      <c r="A660" s="32"/>
      <c r="B660" s="45"/>
      <c r="C660" s="9"/>
      <c r="D660" s="9"/>
      <c r="E660" s="9"/>
      <c r="F660" s="9"/>
      <c r="G660" s="9"/>
      <c r="H660" s="9">
        <v>2128000</v>
      </c>
      <c r="I660" s="9"/>
      <c r="J660" s="9"/>
      <c r="K660" s="9"/>
      <c r="L660" s="9"/>
      <c r="M660" s="2" t="s">
        <v>674</v>
      </c>
      <c r="N660" s="28"/>
    </row>
    <row r="661" spans="1:14" ht="15.75" hidden="1" customHeight="1" x14ac:dyDescent="0.25">
      <c r="A661" s="32"/>
      <c r="B661" s="45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2"/>
      <c r="N661" s="28"/>
    </row>
    <row r="662" spans="1:14" ht="15.75" hidden="1" customHeight="1" x14ac:dyDescent="0.25">
      <c r="A662" s="32"/>
      <c r="B662" s="45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2"/>
      <c r="N662" s="28"/>
    </row>
    <row r="663" spans="1:14" ht="45" x14ac:dyDescent="0.25">
      <c r="A663" s="32"/>
      <c r="B663" s="30" t="s">
        <v>331</v>
      </c>
      <c r="C663" s="7">
        <f>SUM(C664:C667)</f>
        <v>1000000</v>
      </c>
      <c r="D663" s="7"/>
      <c r="E663" s="7"/>
      <c r="F663" s="7"/>
      <c r="G663" s="7">
        <f t="shared" ref="G663:L663" si="246">SUM(G664:G667)</f>
        <v>253926</v>
      </c>
      <c r="H663" s="7">
        <f t="shared" si="246"/>
        <v>0</v>
      </c>
      <c r="I663" s="7"/>
      <c r="J663" s="7"/>
      <c r="K663" s="7">
        <f t="shared" si="246"/>
        <v>0</v>
      </c>
      <c r="L663" s="7">
        <f t="shared" si="246"/>
        <v>0</v>
      </c>
      <c r="M663" s="2"/>
      <c r="N663" s="28"/>
    </row>
    <row r="664" spans="1:14" ht="75" x14ac:dyDescent="0.25">
      <c r="A664" s="32"/>
      <c r="B664" s="45" t="s">
        <v>332</v>
      </c>
      <c r="C664" s="9">
        <v>1000000</v>
      </c>
      <c r="D664" s="9"/>
      <c r="E664" s="9"/>
      <c r="F664" s="9"/>
      <c r="G664" s="9"/>
      <c r="H664" s="9"/>
      <c r="I664" s="9"/>
      <c r="J664" s="9"/>
      <c r="K664" s="9"/>
      <c r="L664" s="9"/>
      <c r="M664" s="2" t="s">
        <v>656</v>
      </c>
      <c r="N664" s="28"/>
    </row>
    <row r="665" spans="1:14" ht="15.75" hidden="1" customHeight="1" x14ac:dyDescent="0.25">
      <c r="A665" s="32"/>
      <c r="B665" s="45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2"/>
      <c r="N665" s="28"/>
    </row>
    <row r="666" spans="1:14" ht="15.75" x14ac:dyDescent="0.25">
      <c r="A666" s="32"/>
      <c r="B666" s="45"/>
      <c r="C666" s="9"/>
      <c r="D666" s="9"/>
      <c r="E666" s="9"/>
      <c r="F666" s="9"/>
      <c r="G666" s="9">
        <v>54926</v>
      </c>
      <c r="H666" s="9"/>
      <c r="I666" s="9"/>
      <c r="J666" s="9"/>
      <c r="K666" s="9"/>
      <c r="L666" s="9"/>
      <c r="M666" s="2" t="s">
        <v>371</v>
      </c>
      <c r="N666" s="28"/>
    </row>
    <row r="667" spans="1:14" ht="31.5" x14ac:dyDescent="0.25">
      <c r="A667" s="32"/>
      <c r="B667" s="45"/>
      <c r="C667" s="9"/>
      <c r="D667" s="9"/>
      <c r="E667" s="9"/>
      <c r="F667" s="9"/>
      <c r="G667" s="9">
        <v>199000</v>
      </c>
      <c r="H667" s="9"/>
      <c r="I667" s="9"/>
      <c r="J667" s="9"/>
      <c r="K667" s="9"/>
      <c r="L667" s="9"/>
      <c r="M667" s="2" t="s">
        <v>540</v>
      </c>
      <c r="N667" s="28"/>
    </row>
    <row r="668" spans="1:14" ht="45" x14ac:dyDescent="0.25">
      <c r="A668" s="32"/>
      <c r="B668" s="37" t="s">
        <v>42</v>
      </c>
      <c r="C668" s="7">
        <f>SUM(C669:C674)</f>
        <v>0</v>
      </c>
      <c r="D668" s="7"/>
      <c r="E668" s="7"/>
      <c r="F668" s="7"/>
      <c r="G668" s="7">
        <f t="shared" ref="G668:L668" si="247">SUM(G669:G674)</f>
        <v>1420000</v>
      </c>
      <c r="H668" s="7">
        <f t="shared" si="247"/>
        <v>0</v>
      </c>
      <c r="I668" s="7"/>
      <c r="J668" s="7"/>
      <c r="K668" s="7">
        <f t="shared" si="247"/>
        <v>295500</v>
      </c>
      <c r="L668" s="7">
        <f t="shared" si="247"/>
        <v>0</v>
      </c>
      <c r="M668" s="2"/>
      <c r="N668" s="28"/>
    </row>
    <row r="669" spans="1:14" ht="63" x14ac:dyDescent="0.25">
      <c r="A669" s="32"/>
      <c r="B669" s="37"/>
      <c r="C669" s="9"/>
      <c r="D669" s="9"/>
      <c r="E669" s="9"/>
      <c r="F669" s="9"/>
      <c r="G669" s="9">
        <v>1104000</v>
      </c>
      <c r="H669" s="9"/>
      <c r="I669" s="9"/>
      <c r="J669" s="9"/>
      <c r="K669" s="9"/>
      <c r="L669" s="9"/>
      <c r="M669" s="2" t="s">
        <v>659</v>
      </c>
      <c r="N669" s="28"/>
    </row>
    <row r="670" spans="1:14" ht="31.5" x14ac:dyDescent="0.25">
      <c r="A670" s="32"/>
      <c r="B670" s="37"/>
      <c r="C670" s="9"/>
      <c r="D670" s="9"/>
      <c r="E670" s="9"/>
      <c r="F670" s="9"/>
      <c r="G670" s="9">
        <f>10000+6000</f>
        <v>16000</v>
      </c>
      <c r="H670" s="9"/>
      <c r="I670" s="9"/>
      <c r="J670" s="9"/>
      <c r="K670" s="9"/>
      <c r="L670" s="9"/>
      <c r="M670" s="2" t="s">
        <v>372</v>
      </c>
      <c r="N670" s="28"/>
    </row>
    <row r="671" spans="1:14" ht="47.25" hidden="1" customHeight="1" x14ac:dyDescent="0.25">
      <c r="A671" s="32"/>
      <c r="B671" s="37"/>
      <c r="C671" s="9"/>
      <c r="D671" s="9"/>
      <c r="E671" s="9"/>
      <c r="F671" s="9"/>
      <c r="G671" s="9"/>
      <c r="H671" s="9"/>
      <c r="I671" s="9"/>
      <c r="J671" s="9"/>
      <c r="K671" s="9">
        <f>145500+150000</f>
        <v>295500</v>
      </c>
      <c r="L671" s="9"/>
      <c r="M671" s="2" t="s">
        <v>373</v>
      </c>
      <c r="N671" s="28"/>
    </row>
    <row r="672" spans="1:14" ht="31.5" x14ac:dyDescent="0.25">
      <c r="A672" s="32"/>
      <c r="B672" s="37"/>
      <c r="C672" s="9"/>
      <c r="D672" s="9"/>
      <c r="E672" s="9"/>
      <c r="F672" s="9"/>
      <c r="G672" s="9">
        <v>300000</v>
      </c>
      <c r="H672" s="9"/>
      <c r="I672" s="9"/>
      <c r="J672" s="9"/>
      <c r="K672" s="9"/>
      <c r="L672" s="9"/>
      <c r="M672" s="2" t="s">
        <v>657</v>
      </c>
      <c r="N672" s="28"/>
    </row>
    <row r="673" spans="1:14" ht="15.75" hidden="1" customHeight="1" x14ac:dyDescent="0.25">
      <c r="A673" s="32"/>
      <c r="B673" s="37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2"/>
      <c r="N673" s="28"/>
    </row>
    <row r="674" spans="1:14" ht="15.75" hidden="1" customHeight="1" x14ac:dyDescent="0.25">
      <c r="A674" s="32"/>
      <c r="B674" s="37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2"/>
      <c r="N674" s="28"/>
    </row>
    <row r="675" spans="1:14" ht="30" hidden="1" customHeight="1" x14ac:dyDescent="0.25">
      <c r="A675" s="32"/>
      <c r="B675" s="37" t="s">
        <v>374</v>
      </c>
      <c r="C675" s="9">
        <f>C676+C677</f>
        <v>0</v>
      </c>
      <c r="D675" s="9"/>
      <c r="E675" s="9"/>
      <c r="F675" s="9"/>
      <c r="G675" s="9"/>
      <c r="H675" s="9">
        <f t="shared" ref="H675:L675" si="248">H676+H677</f>
        <v>0</v>
      </c>
      <c r="I675" s="9"/>
      <c r="J675" s="9"/>
      <c r="K675" s="9">
        <f t="shared" si="248"/>
        <v>0</v>
      </c>
      <c r="L675" s="9">
        <f t="shared" si="248"/>
        <v>0</v>
      </c>
      <c r="M675" s="2"/>
      <c r="N675" s="28"/>
    </row>
    <row r="676" spans="1:14" ht="15.75" hidden="1" customHeight="1" x14ac:dyDescent="0.25">
      <c r="A676" s="32"/>
      <c r="B676" s="37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2"/>
      <c r="N676" s="28"/>
    </row>
    <row r="677" spans="1:14" ht="15.75" hidden="1" customHeight="1" x14ac:dyDescent="0.25">
      <c r="A677" s="32"/>
      <c r="B677" s="37"/>
      <c r="C677" s="9"/>
      <c r="D677" s="9"/>
      <c r="E677" s="9"/>
      <c r="F677" s="9"/>
      <c r="G677" s="9">
        <v>0</v>
      </c>
      <c r="H677" s="9"/>
      <c r="I677" s="9"/>
      <c r="J677" s="9"/>
      <c r="K677" s="9"/>
      <c r="L677" s="9"/>
      <c r="M677" s="2"/>
      <c r="N677" s="28"/>
    </row>
    <row r="678" spans="1:14" ht="30" x14ac:dyDescent="0.25">
      <c r="A678" s="32"/>
      <c r="B678" s="48" t="s">
        <v>228</v>
      </c>
      <c r="C678" s="9">
        <f>SUM(C679:C685)</f>
        <v>0</v>
      </c>
      <c r="D678" s="9"/>
      <c r="E678" s="9"/>
      <c r="F678" s="9"/>
      <c r="G678" s="9">
        <f t="shared" ref="G678:L678" si="249">SUM(G679:G685)</f>
        <v>50226500</v>
      </c>
      <c r="H678" s="9">
        <f t="shared" si="249"/>
        <v>283000</v>
      </c>
      <c r="I678" s="9"/>
      <c r="J678" s="9"/>
      <c r="K678" s="9">
        <f t="shared" si="249"/>
        <v>11500000</v>
      </c>
      <c r="L678" s="9">
        <f t="shared" si="249"/>
        <v>11500000</v>
      </c>
      <c r="M678" s="2"/>
      <c r="N678" s="28"/>
    </row>
    <row r="679" spans="1:14" ht="31.5" x14ac:dyDescent="0.25">
      <c r="A679" s="32"/>
      <c r="B679" s="37"/>
      <c r="C679" s="9"/>
      <c r="D679" s="9"/>
      <c r="E679" s="9"/>
      <c r="F679" s="9"/>
      <c r="G679" s="9">
        <v>50000000</v>
      </c>
      <c r="H679" s="9"/>
      <c r="I679" s="9"/>
      <c r="J679" s="9"/>
      <c r="K679" s="9">
        <v>10000000</v>
      </c>
      <c r="L679" s="9">
        <v>10000000</v>
      </c>
      <c r="M679" s="2" t="s">
        <v>551</v>
      </c>
      <c r="N679" s="28"/>
    </row>
    <row r="680" spans="1:14" ht="31.5" x14ac:dyDescent="0.25">
      <c r="A680" s="32"/>
      <c r="B680" s="37"/>
      <c r="C680" s="9"/>
      <c r="D680" s="9"/>
      <c r="E680" s="9"/>
      <c r="F680" s="9"/>
      <c r="G680" s="9">
        <v>42000</v>
      </c>
      <c r="H680" s="9"/>
      <c r="I680" s="9"/>
      <c r="J680" s="9"/>
      <c r="K680" s="9"/>
      <c r="L680" s="9"/>
      <c r="M680" s="2" t="s">
        <v>605</v>
      </c>
      <c r="N680" s="28"/>
    </row>
    <row r="681" spans="1:14" ht="31.5" x14ac:dyDescent="0.25">
      <c r="A681" s="32"/>
      <c r="B681" s="37"/>
      <c r="C681" s="9"/>
      <c r="D681" s="9"/>
      <c r="E681" s="9"/>
      <c r="F681" s="9"/>
      <c r="G681" s="9">
        <v>184500</v>
      </c>
      <c r="H681" s="9"/>
      <c r="I681" s="9"/>
      <c r="J681" s="9"/>
      <c r="K681" s="9"/>
      <c r="L681" s="9"/>
      <c r="M681" s="2" t="s">
        <v>606</v>
      </c>
      <c r="N681" s="28"/>
    </row>
    <row r="682" spans="1:14" ht="15.75" hidden="1" customHeight="1" x14ac:dyDescent="0.25">
      <c r="A682" s="32"/>
      <c r="B682" s="37"/>
      <c r="C682" s="9"/>
      <c r="D682" s="9"/>
      <c r="E682" s="9"/>
      <c r="F682" s="9"/>
      <c r="G682" s="9">
        <v>0</v>
      </c>
      <c r="H682" s="9"/>
      <c r="I682" s="9"/>
      <c r="J682" s="9"/>
      <c r="K682" s="9"/>
      <c r="L682" s="9"/>
      <c r="M682" s="2"/>
      <c r="N682" s="28"/>
    </row>
    <row r="683" spans="1:14" ht="31.5" hidden="1" customHeight="1" x14ac:dyDescent="0.25">
      <c r="A683" s="32"/>
      <c r="B683" s="37"/>
      <c r="C683" s="9"/>
      <c r="D683" s="9"/>
      <c r="E683" s="9"/>
      <c r="F683" s="9"/>
      <c r="G683" s="9"/>
      <c r="H683" s="9"/>
      <c r="I683" s="9"/>
      <c r="J683" s="9"/>
      <c r="K683" s="9">
        <v>1500000</v>
      </c>
      <c r="L683" s="9">
        <v>1500000</v>
      </c>
      <c r="M683" s="2" t="s">
        <v>505</v>
      </c>
      <c r="N683" s="28"/>
    </row>
    <row r="684" spans="1:14" ht="63" x14ac:dyDescent="0.25">
      <c r="A684" s="32"/>
      <c r="B684" s="37"/>
      <c r="C684" s="9"/>
      <c r="D684" s="9"/>
      <c r="E684" s="9"/>
      <c r="F684" s="9"/>
      <c r="G684" s="9"/>
      <c r="H684" s="9">
        <f>217000+66000</f>
        <v>283000</v>
      </c>
      <c r="I684" s="9"/>
      <c r="J684" s="9"/>
      <c r="K684" s="9"/>
      <c r="L684" s="9"/>
      <c r="M684" s="2" t="s">
        <v>658</v>
      </c>
      <c r="N684" s="28"/>
    </row>
    <row r="685" spans="1:14" ht="15.75" hidden="1" customHeight="1" x14ac:dyDescent="0.25">
      <c r="A685" s="32"/>
      <c r="B685" s="37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2"/>
      <c r="N685" s="28"/>
    </row>
    <row r="686" spans="1:14" ht="30" hidden="1" customHeight="1" x14ac:dyDescent="0.25">
      <c r="A686" s="32"/>
      <c r="B686" s="48" t="s">
        <v>375</v>
      </c>
      <c r="C686" s="9">
        <f>SUM(C687:C690)</f>
        <v>0</v>
      </c>
      <c r="D686" s="9"/>
      <c r="E686" s="9"/>
      <c r="F686" s="9"/>
      <c r="G686" s="9">
        <f t="shared" ref="G686:L686" si="250">SUM(G687:G690)</f>
        <v>0</v>
      </c>
      <c r="H686" s="9">
        <f t="shared" si="250"/>
        <v>0</v>
      </c>
      <c r="I686" s="9"/>
      <c r="J686" s="9"/>
      <c r="K686" s="9">
        <f t="shared" si="250"/>
        <v>1128180</v>
      </c>
      <c r="L686" s="9">
        <f t="shared" si="250"/>
        <v>1128180</v>
      </c>
      <c r="M686" s="2"/>
      <c r="N686" s="28"/>
    </row>
    <row r="687" spans="1:14" ht="31.5" hidden="1" customHeight="1" x14ac:dyDescent="0.25">
      <c r="A687" s="32"/>
      <c r="B687" s="48"/>
      <c r="C687" s="9"/>
      <c r="D687" s="9"/>
      <c r="E687" s="9"/>
      <c r="F687" s="9"/>
      <c r="G687" s="9"/>
      <c r="H687" s="9"/>
      <c r="I687" s="9"/>
      <c r="J687" s="9"/>
      <c r="K687" s="9">
        <v>1128180</v>
      </c>
      <c r="L687" s="9">
        <v>1128180</v>
      </c>
      <c r="M687" s="2" t="s">
        <v>376</v>
      </c>
      <c r="N687" s="28"/>
    </row>
    <row r="688" spans="1:14" ht="15.75" hidden="1" customHeight="1" x14ac:dyDescent="0.25">
      <c r="A688" s="32"/>
      <c r="B688" s="48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2"/>
      <c r="N688" s="28"/>
    </row>
    <row r="689" spans="1:14" ht="15.75" hidden="1" customHeight="1" x14ac:dyDescent="0.25">
      <c r="A689" s="32"/>
      <c r="B689" s="37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2"/>
      <c r="N689" s="28"/>
    </row>
    <row r="690" spans="1:14" ht="15.75" hidden="1" customHeight="1" x14ac:dyDescent="0.25">
      <c r="A690" s="32"/>
      <c r="B690" s="37"/>
      <c r="C690" s="9"/>
      <c r="D690" s="9"/>
      <c r="E690" s="9"/>
      <c r="F690" s="9"/>
      <c r="G690" s="9">
        <v>0</v>
      </c>
      <c r="H690" s="9"/>
      <c r="I690" s="9"/>
      <c r="J690" s="9"/>
      <c r="K690" s="9"/>
      <c r="L690" s="9"/>
      <c r="M690" s="2"/>
      <c r="N690" s="28"/>
    </row>
    <row r="691" spans="1:14" ht="15.75" x14ac:dyDescent="0.25">
      <c r="A691" s="32"/>
      <c r="B691" s="37" t="s">
        <v>34</v>
      </c>
      <c r="C691" s="81">
        <f>SUM(C692:C731)</f>
        <v>0</v>
      </c>
      <c r="D691" s="81"/>
      <c r="E691" s="81"/>
      <c r="F691" s="81"/>
      <c r="G691" s="81">
        <f t="shared" ref="G691:L691" si="251">SUM(G692:G731)</f>
        <v>21094796</v>
      </c>
      <c r="H691" s="81">
        <f t="shared" si="251"/>
        <v>0</v>
      </c>
      <c r="I691" s="81"/>
      <c r="J691" s="81"/>
      <c r="K691" s="81">
        <f t="shared" si="251"/>
        <v>0</v>
      </c>
      <c r="L691" s="81">
        <f t="shared" si="251"/>
        <v>634822</v>
      </c>
      <c r="M691" s="2"/>
      <c r="N691" s="28"/>
    </row>
    <row r="692" spans="1:14" ht="47.25" x14ac:dyDescent="0.25">
      <c r="A692" s="32"/>
      <c r="B692" s="45"/>
      <c r="C692" s="3"/>
      <c r="D692" s="3"/>
      <c r="E692" s="3"/>
      <c r="F692" s="3"/>
      <c r="G692" s="3">
        <v>8000000</v>
      </c>
      <c r="H692" s="3"/>
      <c r="I692" s="3"/>
      <c r="J692" s="3"/>
      <c r="K692" s="3"/>
      <c r="L692" s="3"/>
      <c r="M692" s="2" t="s">
        <v>660</v>
      </c>
      <c r="N692" s="28"/>
    </row>
    <row r="693" spans="1:14" ht="15.75" hidden="1" customHeight="1" x14ac:dyDescent="0.25">
      <c r="A693" s="32"/>
      <c r="B693" s="45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2"/>
      <c r="N693" s="28"/>
    </row>
    <row r="694" spans="1:14" ht="15.75" hidden="1" customHeight="1" x14ac:dyDescent="0.25">
      <c r="A694" s="32"/>
      <c r="B694" s="44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2"/>
      <c r="N694" s="28"/>
    </row>
    <row r="695" spans="1:14" ht="63" hidden="1" customHeight="1" x14ac:dyDescent="0.25">
      <c r="A695" s="32"/>
      <c r="B695" s="44"/>
      <c r="C695" s="3"/>
      <c r="D695" s="3"/>
      <c r="E695" s="3"/>
      <c r="F695" s="3"/>
      <c r="G695" s="3"/>
      <c r="H695" s="3"/>
      <c r="I695" s="3"/>
      <c r="J695" s="3"/>
      <c r="K695" s="3"/>
      <c r="L695" s="3">
        <v>634822</v>
      </c>
      <c r="M695" s="2" t="s">
        <v>615</v>
      </c>
      <c r="N695" s="28"/>
    </row>
    <row r="696" spans="1:14" ht="15.75" hidden="1" customHeight="1" x14ac:dyDescent="0.25">
      <c r="A696" s="32"/>
      <c r="B696" s="135"/>
      <c r="C696" s="3"/>
      <c r="D696" s="3"/>
      <c r="E696" s="86"/>
      <c r="F696" s="3"/>
      <c r="G696" s="86"/>
      <c r="H696" s="3"/>
      <c r="I696" s="3"/>
      <c r="J696" s="3"/>
      <c r="K696" s="3"/>
      <c r="L696" s="3"/>
      <c r="M696" s="2"/>
      <c r="N696" s="28"/>
    </row>
    <row r="697" spans="1:14" ht="75" hidden="1" customHeight="1" x14ac:dyDescent="0.25">
      <c r="A697" s="32"/>
      <c r="B697" s="45" t="s">
        <v>377</v>
      </c>
      <c r="C697" s="3"/>
      <c r="D697" s="3"/>
      <c r="E697" s="86"/>
      <c r="F697" s="3"/>
      <c r="G697" s="86">
        <v>0</v>
      </c>
      <c r="H697" s="3"/>
      <c r="I697" s="3"/>
      <c r="J697" s="3"/>
      <c r="K697" s="3"/>
      <c r="L697" s="3"/>
      <c r="M697" s="2"/>
      <c r="N697" s="28"/>
    </row>
    <row r="698" spans="1:14" ht="90" hidden="1" customHeight="1" x14ac:dyDescent="0.25">
      <c r="A698" s="32"/>
      <c r="B698" s="45" t="s">
        <v>378</v>
      </c>
      <c r="C698" s="3"/>
      <c r="D698" s="3"/>
      <c r="E698" s="3"/>
      <c r="F698" s="3"/>
      <c r="G698" s="3">
        <v>0</v>
      </c>
      <c r="H698" s="3"/>
      <c r="I698" s="3"/>
      <c r="J698" s="3"/>
      <c r="K698" s="3"/>
      <c r="L698" s="3"/>
      <c r="M698" s="2"/>
      <c r="N698" s="28"/>
    </row>
    <row r="699" spans="1:14" ht="15.75" hidden="1" customHeight="1" x14ac:dyDescent="0.25">
      <c r="A699" s="32"/>
      <c r="B699" s="45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2"/>
      <c r="N699" s="28"/>
    </row>
    <row r="700" spans="1:14" ht="30" hidden="1" customHeight="1" x14ac:dyDescent="0.25">
      <c r="A700" s="32"/>
      <c r="B700" s="45" t="s">
        <v>379</v>
      </c>
      <c r="C700" s="3"/>
      <c r="D700" s="3"/>
      <c r="E700" s="3"/>
      <c r="F700" s="3"/>
      <c r="G700" s="3">
        <v>0</v>
      </c>
      <c r="H700" s="3"/>
      <c r="I700" s="3"/>
      <c r="J700" s="3"/>
      <c r="K700" s="3"/>
      <c r="L700" s="3"/>
      <c r="M700" s="2"/>
      <c r="N700" s="28"/>
    </row>
    <row r="701" spans="1:14" ht="30" hidden="1" customHeight="1" x14ac:dyDescent="0.25">
      <c r="A701" s="32"/>
      <c r="B701" s="45" t="s">
        <v>379</v>
      </c>
      <c r="C701" s="3"/>
      <c r="D701" s="3"/>
      <c r="E701" s="3"/>
      <c r="F701" s="3"/>
      <c r="G701" s="3">
        <v>0</v>
      </c>
      <c r="H701" s="3"/>
      <c r="I701" s="3"/>
      <c r="J701" s="3"/>
      <c r="K701" s="3"/>
      <c r="L701" s="3"/>
      <c r="M701" s="2"/>
      <c r="N701" s="28"/>
    </row>
    <row r="702" spans="1:14" ht="30" hidden="1" customHeight="1" x14ac:dyDescent="0.25">
      <c r="A702" s="32"/>
      <c r="B702" s="45" t="s">
        <v>379</v>
      </c>
      <c r="C702" s="3"/>
      <c r="D702" s="3"/>
      <c r="E702" s="3"/>
      <c r="F702" s="3"/>
      <c r="G702" s="3">
        <v>0</v>
      </c>
      <c r="H702" s="3"/>
      <c r="I702" s="3"/>
      <c r="J702" s="3"/>
      <c r="K702" s="3"/>
      <c r="L702" s="3"/>
      <c r="M702" s="2"/>
      <c r="N702" s="28"/>
    </row>
    <row r="703" spans="1:14" ht="30" hidden="1" customHeight="1" x14ac:dyDescent="0.25">
      <c r="A703" s="32"/>
      <c r="B703" s="45" t="s">
        <v>379</v>
      </c>
      <c r="C703" s="3"/>
      <c r="D703" s="3"/>
      <c r="E703" s="3"/>
      <c r="F703" s="3"/>
      <c r="G703" s="3">
        <v>0</v>
      </c>
      <c r="H703" s="3"/>
      <c r="I703" s="3"/>
      <c r="J703" s="3"/>
      <c r="K703" s="3"/>
      <c r="L703" s="3"/>
      <c r="M703" s="2"/>
      <c r="N703" s="28"/>
    </row>
    <row r="704" spans="1:14" ht="31.5" x14ac:dyDescent="0.25">
      <c r="A704" s="32"/>
      <c r="B704" s="45"/>
      <c r="C704" s="3"/>
      <c r="D704" s="3"/>
      <c r="E704" s="3"/>
      <c r="F704" s="3"/>
      <c r="G704" s="3">
        <v>5000000</v>
      </c>
      <c r="H704" s="3"/>
      <c r="I704" s="3"/>
      <c r="J704" s="3"/>
      <c r="K704" s="3"/>
      <c r="L704" s="3"/>
      <c r="M704" s="2" t="s">
        <v>534</v>
      </c>
      <c r="N704" s="28"/>
    </row>
    <row r="705" spans="1:14" ht="30" x14ac:dyDescent="0.25">
      <c r="A705" s="32"/>
      <c r="B705" s="45" t="s">
        <v>379</v>
      </c>
      <c r="C705" s="3"/>
      <c r="D705" s="3"/>
      <c r="E705" s="3"/>
      <c r="F705" s="3"/>
      <c r="G705" s="3">
        <v>4500000</v>
      </c>
      <c r="H705" s="3"/>
      <c r="I705" s="3"/>
      <c r="J705" s="3"/>
      <c r="K705" s="3"/>
      <c r="L705" s="3"/>
      <c r="M705" s="2" t="s">
        <v>661</v>
      </c>
      <c r="N705" s="28"/>
    </row>
    <row r="706" spans="1:14" ht="30" x14ac:dyDescent="0.25">
      <c r="A706" s="32"/>
      <c r="B706" s="45" t="s">
        <v>380</v>
      </c>
      <c r="C706" s="3"/>
      <c r="D706" s="3"/>
      <c r="E706" s="3"/>
      <c r="F706" s="3"/>
      <c r="G706" s="3">
        <v>715484</v>
      </c>
      <c r="H706" s="3"/>
      <c r="I706" s="3"/>
      <c r="J706" s="3"/>
      <c r="K706" s="3"/>
      <c r="L706" s="3"/>
      <c r="M706" s="2" t="s">
        <v>662</v>
      </c>
      <c r="N706" s="28"/>
    </row>
    <row r="707" spans="1:14" ht="31.5" x14ac:dyDescent="0.25">
      <c r="A707" s="32"/>
      <c r="B707" s="45" t="s">
        <v>380</v>
      </c>
      <c r="C707" s="3"/>
      <c r="D707" s="3"/>
      <c r="E707" s="159"/>
      <c r="F707" s="3"/>
      <c r="G707" s="3">
        <f>122000+715000+242000</f>
        <v>1079000</v>
      </c>
      <c r="H707" s="3"/>
      <c r="I707" s="3"/>
      <c r="J707" s="3"/>
      <c r="K707" s="3"/>
      <c r="L707" s="3"/>
      <c r="M707" s="2" t="s">
        <v>522</v>
      </c>
      <c r="N707" s="28"/>
    </row>
    <row r="708" spans="1:14" ht="15.75" hidden="1" customHeight="1" x14ac:dyDescent="0.25">
      <c r="A708" s="32"/>
      <c r="B708" s="44"/>
      <c r="C708" s="3"/>
      <c r="D708" s="3"/>
      <c r="E708" s="159"/>
      <c r="F708" s="3"/>
      <c r="G708" s="3"/>
      <c r="H708" s="3"/>
      <c r="I708" s="3"/>
      <c r="J708" s="3"/>
      <c r="K708" s="3"/>
      <c r="L708" s="3"/>
      <c r="M708" s="2"/>
      <c r="N708" s="28"/>
    </row>
    <row r="709" spans="1:14" ht="15.75" hidden="1" customHeight="1" x14ac:dyDescent="0.25">
      <c r="A709" s="32"/>
      <c r="B709" s="44"/>
      <c r="C709" s="3"/>
      <c r="D709" s="3"/>
      <c r="E709" s="159"/>
      <c r="F709" s="3"/>
      <c r="G709" s="3"/>
      <c r="H709" s="3"/>
      <c r="I709" s="3"/>
      <c r="J709" s="3"/>
      <c r="K709" s="3"/>
      <c r="L709" s="3"/>
      <c r="M709" s="2"/>
      <c r="N709" s="28"/>
    </row>
    <row r="710" spans="1:14" ht="15.75" hidden="1" customHeight="1" x14ac:dyDescent="0.25">
      <c r="A710" s="32"/>
      <c r="B710" s="44"/>
      <c r="C710" s="3"/>
      <c r="D710" s="3"/>
      <c r="E710" s="159"/>
      <c r="F710" s="3"/>
      <c r="G710" s="3"/>
      <c r="H710" s="3"/>
      <c r="I710" s="3"/>
      <c r="J710" s="3"/>
      <c r="K710" s="3"/>
      <c r="L710" s="3"/>
      <c r="M710" s="2"/>
      <c r="N710" s="28"/>
    </row>
    <row r="711" spans="1:14" ht="15.75" hidden="1" customHeight="1" x14ac:dyDescent="0.25">
      <c r="A711" s="32"/>
      <c r="B711" s="44"/>
      <c r="C711" s="3"/>
      <c r="D711" s="3"/>
      <c r="E711" s="159"/>
      <c r="F711" s="3"/>
      <c r="G711" s="3"/>
      <c r="H711" s="3"/>
      <c r="I711" s="3"/>
      <c r="J711" s="3"/>
      <c r="K711" s="3"/>
      <c r="L711" s="3"/>
      <c r="M711" s="2"/>
      <c r="N711" s="28"/>
    </row>
    <row r="712" spans="1:14" ht="15.75" hidden="1" customHeight="1" x14ac:dyDescent="0.25">
      <c r="A712" s="32"/>
      <c r="B712" s="44"/>
      <c r="C712" s="3"/>
      <c r="D712" s="3"/>
      <c r="E712" s="159"/>
      <c r="F712" s="3"/>
      <c r="G712" s="3"/>
      <c r="H712" s="3"/>
      <c r="I712" s="3"/>
      <c r="J712" s="3"/>
      <c r="K712" s="3"/>
      <c r="L712" s="3"/>
      <c r="M712" s="2"/>
      <c r="N712" s="28"/>
    </row>
    <row r="713" spans="1:14" ht="15.75" hidden="1" customHeight="1" x14ac:dyDescent="0.25">
      <c r="A713" s="32"/>
      <c r="B713" s="44"/>
      <c r="C713" s="3"/>
      <c r="D713" s="3"/>
      <c r="E713" s="159"/>
      <c r="F713" s="3"/>
      <c r="G713" s="3"/>
      <c r="H713" s="3"/>
      <c r="I713" s="3"/>
      <c r="J713" s="3"/>
      <c r="K713" s="3"/>
      <c r="L713" s="3"/>
      <c r="M713" s="2"/>
      <c r="N713" s="28"/>
    </row>
    <row r="714" spans="1:14" ht="15.75" hidden="1" customHeight="1" x14ac:dyDescent="0.25">
      <c r="A714" s="32"/>
      <c r="B714" s="44"/>
      <c r="C714" s="3"/>
      <c r="D714" s="3"/>
      <c r="E714" s="159"/>
      <c r="F714" s="3"/>
      <c r="G714" s="3"/>
      <c r="H714" s="3"/>
      <c r="I714" s="3"/>
      <c r="J714" s="3"/>
      <c r="K714" s="3"/>
      <c r="L714" s="3"/>
      <c r="M714" s="2"/>
      <c r="N714" s="28"/>
    </row>
    <row r="715" spans="1:14" ht="15.75" hidden="1" customHeight="1" x14ac:dyDescent="0.25">
      <c r="A715" s="32"/>
      <c r="B715" s="44"/>
      <c r="C715" s="3"/>
      <c r="D715" s="3"/>
      <c r="E715" s="159"/>
      <c r="F715" s="3"/>
      <c r="G715" s="3"/>
      <c r="H715" s="3"/>
      <c r="I715" s="3"/>
      <c r="J715" s="3"/>
      <c r="K715" s="3"/>
      <c r="L715" s="3"/>
      <c r="M715" s="2"/>
      <c r="N715" s="28"/>
    </row>
    <row r="716" spans="1:14" ht="15.75" hidden="1" customHeight="1" x14ac:dyDescent="0.25">
      <c r="A716" s="32"/>
      <c r="B716" s="44"/>
      <c r="C716" s="3"/>
      <c r="D716" s="3"/>
      <c r="E716" s="159"/>
      <c r="F716" s="3"/>
      <c r="G716" s="3"/>
      <c r="H716" s="3"/>
      <c r="I716" s="3"/>
      <c r="J716" s="3"/>
      <c r="K716" s="3"/>
      <c r="L716" s="3"/>
      <c r="M716" s="2"/>
      <c r="N716" s="28"/>
    </row>
    <row r="717" spans="1:14" ht="15.75" hidden="1" customHeight="1" x14ac:dyDescent="0.25">
      <c r="A717" s="32"/>
      <c r="B717" s="44"/>
      <c r="C717" s="3"/>
      <c r="D717" s="3"/>
      <c r="E717" s="159"/>
      <c r="F717" s="3"/>
      <c r="G717" s="3"/>
      <c r="H717" s="3"/>
      <c r="I717" s="3"/>
      <c r="J717" s="3"/>
      <c r="K717" s="3"/>
      <c r="L717" s="3"/>
      <c r="M717" s="2"/>
      <c r="N717" s="28"/>
    </row>
    <row r="718" spans="1:14" ht="15.75" hidden="1" customHeight="1" x14ac:dyDescent="0.25">
      <c r="A718" s="32"/>
      <c r="B718" s="44"/>
      <c r="C718" s="3"/>
      <c r="D718" s="3"/>
      <c r="E718" s="159"/>
      <c r="F718" s="3"/>
      <c r="G718" s="3"/>
      <c r="H718" s="3"/>
      <c r="I718" s="3"/>
      <c r="J718" s="3"/>
      <c r="K718" s="3"/>
      <c r="L718" s="3"/>
      <c r="M718" s="2"/>
      <c r="N718" s="28"/>
    </row>
    <row r="719" spans="1:14" ht="15.75" hidden="1" customHeight="1" x14ac:dyDescent="0.25">
      <c r="A719" s="32"/>
      <c r="B719" s="44"/>
      <c r="C719" s="3"/>
      <c r="D719" s="3"/>
      <c r="E719" s="159"/>
      <c r="F719" s="3"/>
      <c r="G719" s="3"/>
      <c r="H719" s="3"/>
      <c r="I719" s="3"/>
      <c r="J719" s="3"/>
      <c r="K719" s="3"/>
      <c r="L719" s="3"/>
      <c r="M719" s="2"/>
      <c r="N719" s="28"/>
    </row>
    <row r="720" spans="1:14" ht="15.75" hidden="1" customHeight="1" x14ac:dyDescent="0.25">
      <c r="A720" s="32"/>
      <c r="B720" s="45" t="s">
        <v>381</v>
      </c>
      <c r="C720" s="3"/>
      <c r="D720" s="3"/>
      <c r="E720" s="3"/>
      <c r="F720" s="3"/>
      <c r="G720" s="3">
        <v>0</v>
      </c>
      <c r="H720" s="3"/>
      <c r="I720" s="3"/>
      <c r="J720" s="3"/>
      <c r="K720" s="3"/>
      <c r="L720" s="3"/>
      <c r="M720" s="2"/>
      <c r="N720" s="28"/>
    </row>
    <row r="721" spans="1:14" ht="15.75" hidden="1" customHeight="1" x14ac:dyDescent="0.25">
      <c r="A721" s="32"/>
      <c r="B721" s="45" t="s">
        <v>381</v>
      </c>
      <c r="C721" s="3"/>
      <c r="D721" s="3"/>
      <c r="E721" s="159"/>
      <c r="F721" s="3"/>
      <c r="G721" s="3">
        <v>0</v>
      </c>
      <c r="H721" s="3"/>
      <c r="I721" s="3"/>
      <c r="J721" s="3"/>
      <c r="K721" s="3"/>
      <c r="L721" s="3"/>
      <c r="M721" s="2"/>
      <c r="N721" s="28"/>
    </row>
    <row r="722" spans="1:14" ht="15.75" hidden="1" customHeight="1" x14ac:dyDescent="0.25">
      <c r="A722" s="32"/>
      <c r="B722" s="45"/>
      <c r="C722" s="3"/>
      <c r="D722" s="3"/>
      <c r="E722" s="160"/>
      <c r="F722" s="3"/>
      <c r="G722" s="3"/>
      <c r="H722" s="3"/>
      <c r="I722" s="3"/>
      <c r="J722" s="3"/>
      <c r="K722" s="3"/>
      <c r="L722" s="3"/>
      <c r="M722" s="2"/>
      <c r="N722" s="28"/>
    </row>
    <row r="723" spans="1:14" ht="15.75" hidden="1" customHeight="1" x14ac:dyDescent="0.25">
      <c r="A723" s="32"/>
      <c r="B723" s="45"/>
      <c r="C723" s="3"/>
      <c r="D723" s="3"/>
      <c r="E723" s="160"/>
      <c r="F723" s="3"/>
      <c r="G723" s="3"/>
      <c r="H723" s="3"/>
      <c r="I723" s="3"/>
      <c r="J723" s="3"/>
      <c r="K723" s="3"/>
      <c r="L723" s="3"/>
      <c r="M723" s="2"/>
      <c r="N723" s="28"/>
    </row>
    <row r="724" spans="1:14" ht="15.75" hidden="1" customHeight="1" x14ac:dyDescent="0.25">
      <c r="A724" s="32"/>
      <c r="B724" s="45"/>
      <c r="C724" s="3"/>
      <c r="D724" s="3"/>
      <c r="E724" s="160"/>
      <c r="F724" s="3"/>
      <c r="G724" s="3"/>
      <c r="H724" s="3"/>
      <c r="I724" s="3"/>
      <c r="J724" s="3"/>
      <c r="K724" s="3"/>
      <c r="L724" s="3"/>
      <c r="M724" s="2"/>
      <c r="N724" s="28"/>
    </row>
    <row r="725" spans="1:14" ht="15.75" hidden="1" customHeight="1" x14ac:dyDescent="0.25">
      <c r="A725" s="32"/>
      <c r="B725" s="45"/>
      <c r="C725" s="3"/>
      <c r="D725" s="3"/>
      <c r="E725" s="160"/>
      <c r="F725" s="3"/>
      <c r="G725" s="3"/>
      <c r="H725" s="3"/>
      <c r="I725" s="3"/>
      <c r="J725" s="3"/>
      <c r="K725" s="3"/>
      <c r="L725" s="3"/>
      <c r="M725" s="2"/>
      <c r="N725" s="28"/>
    </row>
    <row r="726" spans="1:14" ht="15.75" hidden="1" customHeight="1" x14ac:dyDescent="0.25">
      <c r="A726" s="32"/>
      <c r="B726" s="45" t="s">
        <v>381</v>
      </c>
      <c r="C726" s="3"/>
      <c r="D726" s="3"/>
      <c r="E726" s="159"/>
      <c r="F726" s="3"/>
      <c r="G726" s="3">
        <v>0</v>
      </c>
      <c r="H726" s="3"/>
      <c r="I726" s="3"/>
      <c r="J726" s="3"/>
      <c r="K726" s="3"/>
      <c r="L726" s="3"/>
      <c r="M726" s="2"/>
      <c r="N726" s="28"/>
    </row>
    <row r="727" spans="1:14" ht="15.75" x14ac:dyDescent="0.25">
      <c r="A727" s="32"/>
      <c r="B727" s="45" t="s">
        <v>381</v>
      </c>
      <c r="C727" s="3"/>
      <c r="D727" s="3"/>
      <c r="E727" s="160"/>
      <c r="F727" s="3"/>
      <c r="G727" s="3">
        <v>1800312</v>
      </c>
      <c r="H727" s="3"/>
      <c r="I727" s="3"/>
      <c r="J727" s="3"/>
      <c r="K727" s="3"/>
      <c r="L727" s="3"/>
      <c r="M727" s="2" t="s">
        <v>567</v>
      </c>
      <c r="N727" s="28"/>
    </row>
    <row r="728" spans="1:14" ht="15.75" hidden="1" customHeight="1" x14ac:dyDescent="0.25">
      <c r="A728" s="32"/>
      <c r="B728" s="45"/>
      <c r="C728" s="3"/>
      <c r="D728" s="3"/>
      <c r="E728" s="160"/>
      <c r="F728" s="3"/>
      <c r="G728" s="3"/>
      <c r="H728" s="3"/>
      <c r="I728" s="3"/>
      <c r="J728" s="3"/>
      <c r="K728" s="3"/>
      <c r="L728" s="3"/>
      <c r="M728" s="2"/>
      <c r="N728" s="28"/>
    </row>
    <row r="729" spans="1:14" ht="15.75" hidden="1" customHeight="1" x14ac:dyDescent="0.25">
      <c r="A729" s="32"/>
      <c r="B729" s="45"/>
      <c r="C729" s="3"/>
      <c r="D729" s="3"/>
      <c r="E729" s="160"/>
      <c r="F729" s="3"/>
      <c r="G729" s="3"/>
      <c r="H729" s="3"/>
      <c r="I729" s="3"/>
      <c r="J729" s="3"/>
      <c r="K729" s="3"/>
      <c r="L729" s="3"/>
      <c r="M729" s="2"/>
      <c r="N729" s="28"/>
    </row>
    <row r="730" spans="1:14" ht="15.75" hidden="1" customHeight="1" x14ac:dyDescent="0.25">
      <c r="A730" s="32"/>
      <c r="B730" s="45"/>
      <c r="C730" s="3"/>
      <c r="D730" s="3"/>
      <c r="E730" s="160"/>
      <c r="F730" s="3"/>
      <c r="G730" s="3"/>
      <c r="H730" s="3"/>
      <c r="I730" s="3"/>
      <c r="J730" s="3"/>
      <c r="K730" s="3"/>
      <c r="L730" s="3"/>
      <c r="M730" s="2"/>
      <c r="N730" s="28"/>
    </row>
    <row r="731" spans="1:14" ht="15.75" hidden="1" customHeight="1" x14ac:dyDescent="0.25">
      <c r="A731" s="32"/>
      <c r="B731" s="136"/>
      <c r="C731" s="3"/>
      <c r="D731" s="3"/>
      <c r="E731" s="160"/>
      <c r="F731" s="3"/>
      <c r="G731" s="3"/>
      <c r="H731" s="3"/>
      <c r="I731" s="3"/>
      <c r="J731" s="3"/>
      <c r="K731" s="3"/>
      <c r="L731" s="3"/>
      <c r="M731" s="2"/>
      <c r="N731" s="28"/>
    </row>
    <row r="732" spans="1:14" ht="45" customHeight="1" x14ac:dyDescent="0.25">
      <c r="A732" s="32"/>
      <c r="B732" s="37" t="s">
        <v>157</v>
      </c>
      <c r="C732" s="81">
        <f t="shared" ref="C732" si="252">SUM(C733:C737)</f>
        <v>0</v>
      </c>
      <c r="D732" s="81"/>
      <c r="E732" s="81"/>
      <c r="F732" s="81"/>
      <c r="G732" s="81">
        <f t="shared" ref="G732:L732" si="253">SUM(G733:G737)</f>
        <v>400000</v>
      </c>
      <c r="H732" s="81">
        <f t="shared" si="253"/>
        <v>0</v>
      </c>
      <c r="I732" s="81"/>
      <c r="J732" s="81"/>
      <c r="K732" s="81">
        <f t="shared" si="253"/>
        <v>1167893</v>
      </c>
      <c r="L732" s="81">
        <f t="shared" si="253"/>
        <v>10000</v>
      </c>
      <c r="M732" s="2"/>
      <c r="N732" s="28"/>
    </row>
    <row r="733" spans="1:14" ht="78.75" hidden="1" customHeight="1" x14ac:dyDescent="0.25">
      <c r="A733" s="32"/>
      <c r="B733" s="45"/>
      <c r="C733" s="3"/>
      <c r="D733" s="3"/>
      <c r="E733" s="3"/>
      <c r="F733" s="3"/>
      <c r="G733" s="3"/>
      <c r="H733" s="3"/>
      <c r="I733" s="3"/>
      <c r="J733" s="3"/>
      <c r="K733" s="3">
        <v>581690</v>
      </c>
      <c r="L733" s="3"/>
      <c r="M733" s="2" t="s">
        <v>506</v>
      </c>
      <c r="N733" s="28"/>
    </row>
    <row r="734" spans="1:14" ht="63" hidden="1" customHeight="1" x14ac:dyDescent="0.25">
      <c r="A734" s="32"/>
      <c r="B734" s="44"/>
      <c r="C734" s="3"/>
      <c r="D734" s="3"/>
      <c r="E734" s="3"/>
      <c r="F734" s="3"/>
      <c r="G734" s="3"/>
      <c r="H734" s="3"/>
      <c r="I734" s="3"/>
      <c r="J734" s="3"/>
      <c r="K734" s="3">
        <v>576203</v>
      </c>
      <c r="L734" s="3"/>
      <c r="M734" s="2" t="s">
        <v>507</v>
      </c>
      <c r="N734" s="28"/>
    </row>
    <row r="735" spans="1:14" ht="15.75" hidden="1" customHeight="1" x14ac:dyDescent="0.25">
      <c r="A735" s="32"/>
      <c r="B735" s="136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2"/>
      <c r="N735" s="28"/>
    </row>
    <row r="736" spans="1:14" ht="31.5" hidden="1" customHeight="1" x14ac:dyDescent="0.25">
      <c r="A736" s="32"/>
      <c r="B736" s="136"/>
      <c r="C736" s="3"/>
      <c r="D736" s="3"/>
      <c r="E736" s="3"/>
      <c r="F736" s="3"/>
      <c r="G736" s="3"/>
      <c r="H736" s="3"/>
      <c r="I736" s="3"/>
      <c r="J736" s="3"/>
      <c r="K736" s="3">
        <v>10000</v>
      </c>
      <c r="L736" s="3">
        <v>10000</v>
      </c>
      <c r="M736" s="2" t="s">
        <v>382</v>
      </c>
      <c r="N736" s="28"/>
    </row>
    <row r="737" spans="1:14" ht="31.5" x14ac:dyDescent="0.25">
      <c r="A737" s="32"/>
      <c r="B737" s="136"/>
      <c r="C737" s="3"/>
      <c r="D737" s="3"/>
      <c r="E737" s="3"/>
      <c r="F737" s="3"/>
      <c r="G737" s="3">
        <v>400000</v>
      </c>
      <c r="H737" s="3"/>
      <c r="I737" s="3"/>
      <c r="J737" s="3"/>
      <c r="K737" s="3"/>
      <c r="L737" s="3"/>
      <c r="M737" s="2" t="s">
        <v>663</v>
      </c>
      <c r="N737" s="28"/>
    </row>
    <row r="738" spans="1:14" ht="30" hidden="1" customHeight="1" x14ac:dyDescent="0.25">
      <c r="A738" s="32"/>
      <c r="B738" s="37" t="s">
        <v>383</v>
      </c>
      <c r="C738" s="3">
        <f>C739+C740</f>
        <v>0</v>
      </c>
      <c r="D738" s="3"/>
      <c r="E738" s="3"/>
      <c r="F738" s="3"/>
      <c r="G738" s="3">
        <f t="shared" ref="G738:L738" si="254">G739+G740</f>
        <v>0</v>
      </c>
      <c r="H738" s="3">
        <f t="shared" si="254"/>
        <v>0</v>
      </c>
      <c r="I738" s="3"/>
      <c r="J738" s="3"/>
      <c r="K738" s="3">
        <f t="shared" si="254"/>
        <v>0</v>
      </c>
      <c r="L738" s="3">
        <f t="shared" si="254"/>
        <v>0</v>
      </c>
      <c r="M738" s="2"/>
      <c r="N738" s="28"/>
    </row>
    <row r="739" spans="1:14" ht="15.75" hidden="1" customHeight="1" x14ac:dyDescent="0.25">
      <c r="A739" s="32"/>
      <c r="B739" s="136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2"/>
      <c r="N739" s="28"/>
    </row>
    <row r="740" spans="1:14" ht="15.75" hidden="1" customHeight="1" x14ac:dyDescent="0.25">
      <c r="A740" s="32"/>
      <c r="B740" s="136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2"/>
      <c r="N740" s="28"/>
    </row>
    <row r="741" spans="1:14" ht="15.75" hidden="1" customHeight="1" x14ac:dyDescent="0.25">
      <c r="A741" s="32"/>
      <c r="B741" s="136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2"/>
      <c r="N741" s="28"/>
    </row>
    <row r="742" spans="1:14" ht="30" x14ac:dyDescent="0.25">
      <c r="A742" s="32"/>
      <c r="B742" s="37" t="s">
        <v>552</v>
      </c>
      <c r="C742" s="3">
        <f>SUM(C743:C747)</f>
        <v>0</v>
      </c>
      <c r="D742" s="3"/>
      <c r="E742" s="3"/>
      <c r="F742" s="3"/>
      <c r="G742" s="3">
        <f t="shared" ref="G742:L742" si="255">SUM(G743:G747)</f>
        <v>1128850</v>
      </c>
      <c r="H742" s="3">
        <f t="shared" si="255"/>
        <v>0</v>
      </c>
      <c r="I742" s="3"/>
      <c r="J742" s="3"/>
      <c r="K742" s="3">
        <f t="shared" si="255"/>
        <v>0</v>
      </c>
      <c r="L742" s="3">
        <f t="shared" si="255"/>
        <v>11063922</v>
      </c>
      <c r="M742" s="2"/>
      <c r="N742" s="28"/>
    </row>
    <row r="743" spans="1:14" ht="15.75" hidden="1" customHeight="1" x14ac:dyDescent="0.25">
      <c r="A743" s="32"/>
      <c r="B743" s="136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2"/>
      <c r="N743" s="28"/>
    </row>
    <row r="744" spans="1:14" ht="15.75" x14ac:dyDescent="0.25">
      <c r="A744" s="32"/>
      <c r="B744" s="136"/>
      <c r="C744" s="3"/>
      <c r="D744" s="3"/>
      <c r="E744" s="3"/>
      <c r="F744" s="3"/>
      <c r="G744" s="3">
        <f>148850+100000+10000</f>
        <v>258850</v>
      </c>
      <c r="H744" s="3"/>
      <c r="I744" s="3"/>
      <c r="J744" s="3"/>
      <c r="K744" s="3"/>
      <c r="L744" s="3"/>
      <c r="M744" s="2" t="s">
        <v>523</v>
      </c>
      <c r="N744" s="28"/>
    </row>
    <row r="745" spans="1:14" ht="47.25" hidden="1" customHeight="1" x14ac:dyDescent="0.25">
      <c r="A745" s="32"/>
      <c r="B745" s="136"/>
      <c r="C745" s="3"/>
      <c r="D745" s="3"/>
      <c r="E745" s="3"/>
      <c r="F745" s="3"/>
      <c r="G745" s="3"/>
      <c r="H745" s="3"/>
      <c r="I745" s="3"/>
      <c r="J745" s="3"/>
      <c r="K745" s="3"/>
      <c r="L745" s="3">
        <v>10995922</v>
      </c>
      <c r="M745" s="2" t="s">
        <v>592</v>
      </c>
      <c r="N745" s="28"/>
    </row>
    <row r="746" spans="1:14" ht="47.25" hidden="1" customHeight="1" x14ac:dyDescent="0.25">
      <c r="A746" s="32"/>
      <c r="B746" s="136"/>
      <c r="C746" s="3"/>
      <c r="D746" s="3"/>
      <c r="E746" s="3"/>
      <c r="F746" s="3"/>
      <c r="G746" s="3"/>
      <c r="H746" s="3"/>
      <c r="I746" s="3"/>
      <c r="J746" s="3"/>
      <c r="K746" s="3"/>
      <c r="L746" s="3">
        <v>68000</v>
      </c>
      <c r="M746" s="2" t="s">
        <v>576</v>
      </c>
      <c r="N746" s="28"/>
    </row>
    <row r="747" spans="1:14" ht="31.5" x14ac:dyDescent="0.25">
      <c r="A747" s="32"/>
      <c r="B747" s="136"/>
      <c r="C747" s="3"/>
      <c r="D747" s="3"/>
      <c r="E747" s="4"/>
      <c r="F747" s="3"/>
      <c r="G747" s="4">
        <v>870000</v>
      </c>
      <c r="H747" s="3"/>
      <c r="I747" s="3"/>
      <c r="J747" s="3"/>
      <c r="K747" s="3"/>
      <c r="L747" s="3"/>
      <c r="M747" s="2" t="s">
        <v>568</v>
      </c>
      <c r="N747" s="28"/>
    </row>
    <row r="748" spans="1:14" ht="45" x14ac:dyDescent="0.25">
      <c r="A748" s="32"/>
      <c r="B748" s="37" t="s">
        <v>118</v>
      </c>
      <c r="C748" s="81">
        <f>SUM(C749:C753)</f>
        <v>0</v>
      </c>
      <c r="D748" s="81"/>
      <c r="E748" s="81"/>
      <c r="F748" s="81"/>
      <c r="G748" s="81">
        <f t="shared" ref="G748:L748" si="256">SUM(G749:G753)</f>
        <v>221674</v>
      </c>
      <c r="H748" s="81">
        <f t="shared" si="256"/>
        <v>0</v>
      </c>
      <c r="I748" s="81"/>
      <c r="J748" s="81"/>
      <c r="K748" s="81">
        <f t="shared" si="256"/>
        <v>88483</v>
      </c>
      <c r="L748" s="81">
        <f t="shared" si="256"/>
        <v>88483</v>
      </c>
      <c r="M748" s="2"/>
      <c r="N748" s="28"/>
    </row>
    <row r="749" spans="1:14" ht="35.25" customHeight="1" x14ac:dyDescent="0.25">
      <c r="A749" s="32"/>
      <c r="B749" s="45"/>
      <c r="C749" s="3"/>
      <c r="D749" s="3"/>
      <c r="E749" s="3"/>
      <c r="F749" s="3"/>
      <c r="G749" s="3">
        <f>100000+11024</f>
        <v>111024</v>
      </c>
      <c r="H749" s="3"/>
      <c r="I749" s="3"/>
      <c r="J749" s="3"/>
      <c r="K749" s="3"/>
      <c r="L749" s="3"/>
      <c r="M749" s="2" t="s">
        <v>664</v>
      </c>
      <c r="N749" s="28"/>
    </row>
    <row r="750" spans="1:14" ht="31.5" x14ac:dyDescent="0.25">
      <c r="A750" s="32"/>
      <c r="B750" s="45"/>
      <c r="C750" s="3"/>
      <c r="D750" s="3"/>
      <c r="E750" s="3"/>
      <c r="F750" s="3"/>
      <c r="G750" s="3">
        <f>29000+31500+11000+29600</f>
        <v>101100</v>
      </c>
      <c r="H750" s="3"/>
      <c r="I750" s="3"/>
      <c r="J750" s="3"/>
      <c r="K750" s="3"/>
      <c r="L750" s="3"/>
      <c r="M750" s="2" t="s">
        <v>384</v>
      </c>
      <c r="N750" s="28"/>
    </row>
    <row r="751" spans="1:14" ht="31.5" x14ac:dyDescent="0.25">
      <c r="A751" s="32"/>
      <c r="B751" s="45"/>
      <c r="C751" s="3"/>
      <c r="D751" s="3"/>
      <c r="E751" s="3"/>
      <c r="F751" s="3"/>
      <c r="G751" s="3">
        <v>9550</v>
      </c>
      <c r="H751" s="3"/>
      <c r="I751" s="3"/>
      <c r="J751" s="3"/>
      <c r="K751" s="3"/>
      <c r="L751" s="3"/>
      <c r="M751" s="2" t="s">
        <v>508</v>
      </c>
      <c r="N751" s="28"/>
    </row>
    <row r="752" spans="1:14" ht="15.75" hidden="1" customHeight="1" x14ac:dyDescent="0.25">
      <c r="A752" s="32"/>
      <c r="B752" s="45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2"/>
      <c r="N752" s="28"/>
    </row>
    <row r="753" spans="1:14" ht="31.5" hidden="1" customHeight="1" x14ac:dyDescent="0.25">
      <c r="A753" s="32"/>
      <c r="B753" s="45"/>
      <c r="C753" s="3"/>
      <c r="D753" s="3"/>
      <c r="E753" s="3"/>
      <c r="F753" s="3"/>
      <c r="G753" s="3"/>
      <c r="H753" s="3"/>
      <c r="I753" s="3"/>
      <c r="J753" s="3"/>
      <c r="K753" s="3">
        <f>18500+11000+15383+14000+29600</f>
        <v>88483</v>
      </c>
      <c r="L753" s="3">
        <v>88483</v>
      </c>
      <c r="M753" s="2" t="s">
        <v>385</v>
      </c>
      <c r="N753" s="28"/>
    </row>
    <row r="754" spans="1:14" ht="45" x14ac:dyDescent="0.25">
      <c r="A754" s="32"/>
      <c r="B754" s="37" t="s">
        <v>386</v>
      </c>
      <c r="C754" s="3">
        <f>SUM(C755:C757)</f>
        <v>0</v>
      </c>
      <c r="D754" s="3"/>
      <c r="E754" s="3"/>
      <c r="F754" s="3"/>
      <c r="G754" s="3">
        <f t="shared" ref="G754:L754" si="257">SUM(G755:G757)</f>
        <v>385140</v>
      </c>
      <c r="H754" s="3">
        <f t="shared" si="257"/>
        <v>0</v>
      </c>
      <c r="I754" s="3"/>
      <c r="J754" s="3"/>
      <c r="K754" s="3">
        <f t="shared" si="257"/>
        <v>0</v>
      </c>
      <c r="L754" s="3">
        <f t="shared" si="257"/>
        <v>0</v>
      </c>
      <c r="M754" s="2"/>
      <c r="N754" s="28"/>
    </row>
    <row r="755" spans="1:14" ht="47.25" x14ac:dyDescent="0.25">
      <c r="A755" s="32"/>
      <c r="B755" s="45"/>
      <c r="C755" s="3"/>
      <c r="D755" s="3"/>
      <c r="E755" s="3"/>
      <c r="F755" s="3"/>
      <c r="G755" s="3">
        <f>100000+285140</f>
        <v>385140</v>
      </c>
      <c r="H755" s="3"/>
      <c r="I755" s="3"/>
      <c r="J755" s="3"/>
      <c r="K755" s="3"/>
      <c r="L755" s="3"/>
      <c r="M755" s="2" t="s">
        <v>665</v>
      </c>
      <c r="N755" s="28"/>
    </row>
    <row r="756" spans="1:14" ht="15.75" hidden="1" customHeight="1" x14ac:dyDescent="0.25">
      <c r="A756" s="32"/>
      <c r="B756" s="45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2"/>
      <c r="N756" s="28"/>
    </row>
    <row r="757" spans="1:14" ht="15.75" hidden="1" customHeight="1" x14ac:dyDescent="0.25">
      <c r="A757" s="32"/>
      <c r="B757" s="45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2"/>
      <c r="N757" s="28"/>
    </row>
    <row r="758" spans="1:14" ht="45" hidden="1" customHeight="1" x14ac:dyDescent="0.25">
      <c r="A758" s="32"/>
      <c r="B758" s="37" t="s">
        <v>387</v>
      </c>
      <c r="C758" s="3">
        <f>C759+C760</f>
        <v>0</v>
      </c>
      <c r="D758" s="3"/>
      <c r="E758" s="3"/>
      <c r="F758" s="3"/>
      <c r="G758" s="3">
        <f t="shared" ref="G758:L758" si="258">G759+G760</f>
        <v>0</v>
      </c>
      <c r="H758" s="3">
        <f t="shared" si="258"/>
        <v>0</v>
      </c>
      <c r="I758" s="3"/>
      <c r="J758" s="3"/>
      <c r="K758" s="3">
        <f t="shared" si="258"/>
        <v>0</v>
      </c>
      <c r="L758" s="3">
        <f t="shared" si="258"/>
        <v>0</v>
      </c>
      <c r="M758" s="2"/>
      <c r="N758" s="28"/>
    </row>
    <row r="759" spans="1:14" ht="15.75" hidden="1" customHeight="1" x14ac:dyDescent="0.25">
      <c r="A759" s="32"/>
      <c r="B759" s="45"/>
      <c r="C759" s="3"/>
      <c r="D759" s="3"/>
      <c r="E759" s="3"/>
      <c r="F759" s="3"/>
      <c r="G759" s="3">
        <v>0</v>
      </c>
      <c r="H759" s="3"/>
      <c r="I759" s="3"/>
      <c r="J759" s="3"/>
      <c r="K759" s="3"/>
      <c r="L759" s="3"/>
      <c r="M759" s="2"/>
      <c r="N759" s="28"/>
    </row>
    <row r="760" spans="1:14" ht="15.75" hidden="1" customHeight="1" x14ac:dyDescent="0.25">
      <c r="A760" s="32"/>
      <c r="B760" s="45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2"/>
      <c r="N760" s="28"/>
    </row>
    <row r="761" spans="1:14" ht="30" x14ac:dyDescent="0.25">
      <c r="A761" s="32"/>
      <c r="B761" s="37" t="s">
        <v>388</v>
      </c>
      <c r="C761" s="3">
        <f t="shared" ref="C761" si="259">C762+C763</f>
        <v>0</v>
      </c>
      <c r="D761" s="3"/>
      <c r="E761" s="3"/>
      <c r="F761" s="3"/>
      <c r="G761" s="3">
        <f t="shared" ref="G761:L761" si="260">G762+G763</f>
        <v>0</v>
      </c>
      <c r="H761" s="3">
        <f t="shared" si="260"/>
        <v>600000</v>
      </c>
      <c r="I761" s="3"/>
      <c r="J761" s="3"/>
      <c r="K761" s="3">
        <f t="shared" si="260"/>
        <v>600000</v>
      </c>
      <c r="L761" s="3">
        <f t="shared" si="260"/>
        <v>0</v>
      </c>
      <c r="M761" s="2"/>
      <c r="N761" s="28"/>
    </row>
    <row r="762" spans="1:14" ht="15.75" hidden="1" customHeight="1" x14ac:dyDescent="0.25">
      <c r="A762" s="32"/>
      <c r="B762" s="45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2"/>
      <c r="N762" s="28"/>
    </row>
    <row r="763" spans="1:14" ht="47.25" x14ac:dyDescent="0.25">
      <c r="A763" s="32"/>
      <c r="B763" s="45"/>
      <c r="C763" s="3"/>
      <c r="D763" s="3"/>
      <c r="E763" s="3"/>
      <c r="F763" s="3"/>
      <c r="G763" s="3"/>
      <c r="H763" s="3">
        <v>600000</v>
      </c>
      <c r="I763" s="3"/>
      <c r="J763" s="3"/>
      <c r="K763" s="3">
        <v>600000</v>
      </c>
      <c r="L763" s="3"/>
      <c r="M763" s="2" t="s">
        <v>666</v>
      </c>
      <c r="N763" s="28"/>
    </row>
    <row r="764" spans="1:14" ht="45" x14ac:dyDescent="0.25">
      <c r="A764" s="32"/>
      <c r="B764" s="37" t="s">
        <v>120</v>
      </c>
      <c r="C764" s="81">
        <f>C765+C766</f>
        <v>0</v>
      </c>
      <c r="D764" s="81"/>
      <c r="E764" s="81"/>
      <c r="F764" s="81"/>
      <c r="G764" s="81">
        <f t="shared" ref="G764:L764" si="261">G765+G766</f>
        <v>40000</v>
      </c>
      <c r="H764" s="81">
        <f t="shared" si="261"/>
        <v>0</v>
      </c>
      <c r="I764" s="81"/>
      <c r="J764" s="81"/>
      <c r="K764" s="81">
        <f t="shared" si="261"/>
        <v>0</v>
      </c>
      <c r="L764" s="81">
        <f t="shared" si="261"/>
        <v>0</v>
      </c>
      <c r="M764" s="2"/>
      <c r="N764" s="28"/>
    </row>
    <row r="765" spans="1:14" ht="15.75" hidden="1" customHeight="1" x14ac:dyDescent="0.25">
      <c r="A765" s="32"/>
      <c r="B765" s="45"/>
      <c r="C765" s="81"/>
      <c r="D765" s="81"/>
      <c r="E765" s="3"/>
      <c r="F765" s="3"/>
      <c r="G765" s="3"/>
      <c r="H765" s="81"/>
      <c r="I765" s="81"/>
      <c r="J765" s="81"/>
      <c r="K765" s="81"/>
      <c r="L765" s="81"/>
      <c r="M765" s="2"/>
      <c r="N765" s="28"/>
    </row>
    <row r="766" spans="1:14" ht="15.75" x14ac:dyDescent="0.25">
      <c r="A766" s="32"/>
      <c r="B766" s="45"/>
      <c r="C766" s="3"/>
      <c r="D766" s="3"/>
      <c r="E766" s="3"/>
      <c r="F766" s="3"/>
      <c r="G766" s="3">
        <v>40000</v>
      </c>
      <c r="H766" s="3"/>
      <c r="I766" s="3"/>
      <c r="J766" s="3"/>
      <c r="K766" s="3"/>
      <c r="L766" s="3"/>
      <c r="M766" s="2" t="s">
        <v>526</v>
      </c>
      <c r="N766" s="28"/>
    </row>
    <row r="767" spans="1:14" ht="45" x14ac:dyDescent="0.25">
      <c r="A767" s="32"/>
      <c r="B767" s="37" t="s">
        <v>389</v>
      </c>
      <c r="C767" s="3">
        <f>SUM(C768:C771)</f>
        <v>0</v>
      </c>
      <c r="D767" s="3"/>
      <c r="E767" s="3"/>
      <c r="F767" s="3"/>
      <c r="G767" s="3">
        <f t="shared" ref="G767:L767" si="262">SUM(G768:G771)</f>
        <v>1396000</v>
      </c>
      <c r="H767" s="3">
        <f t="shared" si="262"/>
        <v>0</v>
      </c>
      <c r="I767" s="3"/>
      <c r="J767" s="3"/>
      <c r="K767" s="3">
        <f t="shared" si="262"/>
        <v>15000</v>
      </c>
      <c r="L767" s="3">
        <f t="shared" si="262"/>
        <v>15000</v>
      </c>
      <c r="M767" s="2"/>
      <c r="N767" s="28"/>
    </row>
    <row r="768" spans="1:14" ht="31.5" hidden="1" customHeight="1" x14ac:dyDescent="0.25">
      <c r="A768" s="32"/>
      <c r="B768" s="37"/>
      <c r="C768" s="3"/>
      <c r="D768" s="3"/>
      <c r="E768" s="3"/>
      <c r="F768" s="3"/>
      <c r="G768" s="3"/>
      <c r="H768" s="3"/>
      <c r="I768" s="3"/>
      <c r="J768" s="3"/>
      <c r="K768" s="3">
        <v>15000</v>
      </c>
      <c r="L768" s="3">
        <v>15000</v>
      </c>
      <c r="M768" s="2" t="s">
        <v>385</v>
      </c>
      <c r="N768" s="28"/>
    </row>
    <row r="769" spans="1:14" ht="15.75" hidden="1" customHeight="1" x14ac:dyDescent="0.25">
      <c r="A769" s="32"/>
      <c r="B769" s="37"/>
      <c r="C769" s="3"/>
      <c r="D769" s="3"/>
      <c r="E769" s="3"/>
      <c r="F769" s="3"/>
      <c r="G769" s="3">
        <v>0</v>
      </c>
      <c r="H769" s="3"/>
      <c r="I769" s="3"/>
      <c r="J769" s="3"/>
      <c r="K769" s="3"/>
      <c r="L769" s="3"/>
      <c r="M769" s="2"/>
      <c r="N769" s="28"/>
    </row>
    <row r="770" spans="1:14" ht="78.75" x14ac:dyDescent="0.25">
      <c r="A770" s="32"/>
      <c r="B770" s="45"/>
      <c r="C770" s="3"/>
      <c r="D770" s="3"/>
      <c r="E770" s="3"/>
      <c r="F770" s="3"/>
      <c r="G770" s="3">
        <v>1396000</v>
      </c>
      <c r="H770" s="3"/>
      <c r="I770" s="3"/>
      <c r="J770" s="3"/>
      <c r="K770" s="3"/>
      <c r="L770" s="3"/>
      <c r="M770" s="2" t="s">
        <v>667</v>
      </c>
      <c r="N770" s="28"/>
    </row>
    <row r="771" spans="1:14" ht="15.75" hidden="1" customHeight="1" x14ac:dyDescent="0.25">
      <c r="A771" s="32"/>
      <c r="B771" s="45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2"/>
      <c r="N771" s="28"/>
    </row>
    <row r="772" spans="1:14" ht="45" hidden="1" customHeight="1" x14ac:dyDescent="0.25">
      <c r="A772" s="32"/>
      <c r="B772" s="37" t="s">
        <v>390</v>
      </c>
      <c r="C772" s="3">
        <f>C773+C774</f>
        <v>0</v>
      </c>
      <c r="D772" s="3"/>
      <c r="E772" s="3"/>
      <c r="F772" s="3"/>
      <c r="G772" s="3">
        <f t="shared" ref="G772:L772" si="263">G773+G774</f>
        <v>0</v>
      </c>
      <c r="H772" s="3">
        <f t="shared" si="263"/>
        <v>0</v>
      </c>
      <c r="I772" s="3"/>
      <c r="J772" s="3"/>
      <c r="K772" s="3">
        <f t="shared" si="263"/>
        <v>24947</v>
      </c>
      <c r="L772" s="3">
        <f t="shared" si="263"/>
        <v>24947</v>
      </c>
      <c r="M772" s="2"/>
      <c r="N772" s="28"/>
    </row>
    <row r="773" spans="1:14" ht="15.75" hidden="1" customHeight="1" x14ac:dyDescent="0.25">
      <c r="A773" s="32"/>
      <c r="B773" s="45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2"/>
      <c r="N773" s="28"/>
    </row>
    <row r="774" spans="1:14" ht="31.5" hidden="1" customHeight="1" x14ac:dyDescent="0.25">
      <c r="A774" s="32"/>
      <c r="B774" s="45"/>
      <c r="C774" s="3"/>
      <c r="D774" s="3"/>
      <c r="E774" s="3"/>
      <c r="F774" s="3"/>
      <c r="G774" s="3"/>
      <c r="H774" s="3"/>
      <c r="I774" s="3"/>
      <c r="J774" s="3"/>
      <c r="K774" s="3">
        <v>24947</v>
      </c>
      <c r="L774" s="3">
        <v>24947</v>
      </c>
      <c r="M774" s="2" t="s">
        <v>385</v>
      </c>
      <c r="N774" s="28"/>
    </row>
    <row r="775" spans="1:14" ht="30" x14ac:dyDescent="0.25">
      <c r="A775" s="32"/>
      <c r="B775" s="37" t="s">
        <v>77</v>
      </c>
      <c r="C775" s="81">
        <f>SUM(C776:C785)</f>
        <v>0</v>
      </c>
      <c r="D775" s="81"/>
      <c r="E775" s="81"/>
      <c r="F775" s="81"/>
      <c r="G775" s="81">
        <f t="shared" ref="G775:L775" si="264">SUM(G776:G785)</f>
        <v>5294167</v>
      </c>
      <c r="H775" s="81">
        <f t="shared" si="264"/>
        <v>0</v>
      </c>
      <c r="I775" s="81"/>
      <c r="J775" s="81"/>
      <c r="K775" s="81">
        <f t="shared" si="264"/>
        <v>1387549</v>
      </c>
      <c r="L775" s="81">
        <f t="shared" si="264"/>
        <v>1314418</v>
      </c>
      <c r="M775" s="2"/>
      <c r="N775" s="28"/>
    </row>
    <row r="776" spans="1:14" ht="78.75" hidden="1" customHeight="1" x14ac:dyDescent="0.25">
      <c r="A776" s="32"/>
      <c r="B776" s="45"/>
      <c r="C776" s="3"/>
      <c r="D776" s="3"/>
      <c r="E776" s="3"/>
      <c r="F776" s="3"/>
      <c r="G776" s="3"/>
      <c r="H776" s="3"/>
      <c r="I776" s="3"/>
      <c r="J776" s="3"/>
      <c r="K776" s="3">
        <v>53131</v>
      </c>
      <c r="L776" s="3"/>
      <c r="M776" s="2" t="s">
        <v>391</v>
      </c>
      <c r="N776" s="28"/>
    </row>
    <row r="777" spans="1:14" ht="63" hidden="1" customHeight="1" x14ac:dyDescent="0.25">
      <c r="A777" s="32"/>
      <c r="B777" s="45"/>
      <c r="C777" s="3"/>
      <c r="D777" s="3"/>
      <c r="E777" s="3"/>
      <c r="F777" s="3"/>
      <c r="G777" s="3"/>
      <c r="H777" s="3"/>
      <c r="I777" s="3"/>
      <c r="J777" s="3"/>
      <c r="K777" s="3">
        <v>20000</v>
      </c>
      <c r="L777" s="3"/>
      <c r="M777" s="2" t="s">
        <v>392</v>
      </c>
      <c r="N777" s="28"/>
    </row>
    <row r="778" spans="1:14" ht="31.5" hidden="1" customHeight="1" x14ac:dyDescent="0.25">
      <c r="A778" s="32"/>
      <c r="B778" s="45"/>
      <c r="C778" s="3"/>
      <c r="D778" s="3"/>
      <c r="E778" s="3"/>
      <c r="F778" s="3"/>
      <c r="G778" s="3"/>
      <c r="H778" s="3"/>
      <c r="I778" s="3"/>
      <c r="J778" s="3"/>
      <c r="K778" s="3">
        <v>1314418</v>
      </c>
      <c r="L778" s="3">
        <v>1314418</v>
      </c>
      <c r="M778" s="2" t="s">
        <v>393</v>
      </c>
      <c r="N778" s="28"/>
    </row>
    <row r="779" spans="1:14" ht="15.75" hidden="1" customHeight="1" x14ac:dyDescent="0.25">
      <c r="A779" s="32"/>
      <c r="B779" s="45"/>
      <c r="C779" s="3"/>
      <c r="D779" s="3"/>
      <c r="E779" s="3"/>
      <c r="F779" s="3"/>
      <c r="G779" s="3">
        <v>0</v>
      </c>
      <c r="H779" s="3"/>
      <c r="I779" s="3"/>
      <c r="J779" s="3"/>
      <c r="K779" s="3"/>
      <c r="L779" s="3"/>
      <c r="M779" s="2"/>
      <c r="N779" s="28"/>
    </row>
    <row r="780" spans="1:14" ht="15.75" hidden="1" customHeight="1" x14ac:dyDescent="0.25">
      <c r="A780" s="32"/>
      <c r="B780" s="45"/>
      <c r="C780" s="3"/>
      <c r="D780" s="3"/>
      <c r="E780" s="3"/>
      <c r="F780" s="3"/>
      <c r="G780" s="3">
        <v>0</v>
      </c>
      <c r="H780" s="3"/>
      <c r="I780" s="3"/>
      <c r="J780" s="3"/>
      <c r="K780" s="3"/>
      <c r="L780" s="3"/>
      <c r="M780" s="2"/>
      <c r="N780" s="28"/>
    </row>
    <row r="781" spans="1:14" ht="15.75" hidden="1" customHeight="1" x14ac:dyDescent="0.25">
      <c r="A781" s="32"/>
      <c r="B781" s="45"/>
      <c r="C781" s="3"/>
      <c r="D781" s="3"/>
      <c r="E781" s="3"/>
      <c r="F781" s="3"/>
      <c r="G781" s="3">
        <v>0</v>
      </c>
      <c r="H781" s="3"/>
      <c r="I781" s="3"/>
      <c r="J781" s="3"/>
      <c r="K781" s="3"/>
      <c r="L781" s="3"/>
      <c r="M781" s="2"/>
      <c r="N781" s="28"/>
    </row>
    <row r="782" spans="1:14" ht="15.75" hidden="1" customHeight="1" x14ac:dyDescent="0.25">
      <c r="A782" s="32"/>
      <c r="B782" s="45"/>
      <c r="C782" s="3"/>
      <c r="D782" s="3"/>
      <c r="E782" s="3"/>
      <c r="F782" s="3"/>
      <c r="G782" s="3">
        <v>0</v>
      </c>
      <c r="H782" s="3"/>
      <c r="I782" s="3"/>
      <c r="J782" s="3"/>
      <c r="K782" s="3"/>
      <c r="L782" s="3"/>
      <c r="M782" s="2"/>
      <c r="N782" s="28"/>
    </row>
    <row r="783" spans="1:14" ht="31.5" x14ac:dyDescent="0.25">
      <c r="A783" s="32"/>
      <c r="B783" s="45"/>
      <c r="C783" s="3"/>
      <c r="D783" s="3"/>
      <c r="E783" s="3"/>
      <c r="F783" s="3"/>
      <c r="G783" s="3">
        <v>4500000</v>
      </c>
      <c r="H783" s="3"/>
      <c r="I783" s="3"/>
      <c r="J783" s="3"/>
      <c r="K783" s="3"/>
      <c r="L783" s="3"/>
      <c r="M783" s="2" t="s">
        <v>522</v>
      </c>
      <c r="N783" s="28"/>
    </row>
    <row r="784" spans="1:14" ht="47.25" x14ac:dyDescent="0.25">
      <c r="A784" s="32"/>
      <c r="B784" s="45"/>
      <c r="C784" s="3"/>
      <c r="D784" s="3"/>
      <c r="E784" s="3"/>
      <c r="F784" s="3"/>
      <c r="G784" s="3">
        <f>610167+184000</f>
        <v>794167</v>
      </c>
      <c r="H784" s="3"/>
      <c r="I784" s="3"/>
      <c r="J784" s="3"/>
      <c r="K784" s="3"/>
      <c r="L784" s="3"/>
      <c r="M784" s="2" t="s">
        <v>668</v>
      </c>
      <c r="N784" s="28"/>
    </row>
    <row r="785" spans="1:14" ht="15.75" hidden="1" customHeight="1" x14ac:dyDescent="0.25">
      <c r="A785" s="32"/>
      <c r="B785" s="45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2"/>
      <c r="N785" s="28"/>
    </row>
    <row r="786" spans="1:14" ht="45" x14ac:dyDescent="0.25">
      <c r="A786" s="32"/>
      <c r="B786" s="37" t="s">
        <v>30</v>
      </c>
      <c r="C786" s="3">
        <f>SUM(C787:C791)</f>
        <v>0</v>
      </c>
      <c r="D786" s="3"/>
      <c r="E786" s="3"/>
      <c r="F786" s="3"/>
      <c r="G786" s="3">
        <f t="shared" ref="G786:L786" si="265">SUM(G787:G791)</f>
        <v>526074</v>
      </c>
      <c r="H786" s="3">
        <f t="shared" si="265"/>
        <v>0</v>
      </c>
      <c r="I786" s="3"/>
      <c r="J786" s="3"/>
      <c r="K786" s="3">
        <f t="shared" si="265"/>
        <v>547966</v>
      </c>
      <c r="L786" s="3">
        <f t="shared" si="265"/>
        <v>0</v>
      </c>
      <c r="M786" s="2"/>
      <c r="N786" s="28"/>
    </row>
    <row r="787" spans="1:14" ht="15.75" x14ac:dyDescent="0.25">
      <c r="A787" s="32"/>
      <c r="B787" s="45"/>
      <c r="C787" s="3"/>
      <c r="D787" s="3"/>
      <c r="E787" s="3"/>
      <c r="F787" s="3"/>
      <c r="G787" s="3">
        <v>253000</v>
      </c>
      <c r="H787" s="3"/>
      <c r="I787" s="3"/>
      <c r="J787" s="3"/>
      <c r="K787" s="3"/>
      <c r="L787" s="3"/>
      <c r="M787" s="2" t="s">
        <v>527</v>
      </c>
      <c r="N787" s="28"/>
    </row>
    <row r="788" spans="1:14" ht="31.5" hidden="1" customHeight="1" x14ac:dyDescent="0.25">
      <c r="A788" s="32"/>
      <c r="B788" s="45"/>
      <c r="C788" s="3"/>
      <c r="D788" s="3"/>
      <c r="E788" s="3"/>
      <c r="F788" s="3"/>
      <c r="G788" s="3"/>
      <c r="H788" s="3"/>
      <c r="I788" s="3"/>
      <c r="J788" s="3"/>
      <c r="K788" s="3">
        <f>5000+482000+14267</f>
        <v>501267</v>
      </c>
      <c r="L788" s="3"/>
      <c r="M788" s="2" t="s">
        <v>394</v>
      </c>
      <c r="N788" s="28"/>
    </row>
    <row r="789" spans="1:14" ht="47.25" hidden="1" customHeight="1" x14ac:dyDescent="0.25">
      <c r="A789" s="32"/>
      <c r="B789" s="45"/>
      <c r="C789" s="3"/>
      <c r="D789" s="3"/>
      <c r="E789" s="3"/>
      <c r="F789" s="3"/>
      <c r="G789" s="3"/>
      <c r="H789" s="3"/>
      <c r="I789" s="3"/>
      <c r="J789" s="3"/>
      <c r="K789" s="3">
        <f>45268+1431</f>
        <v>46699</v>
      </c>
      <c r="L789" s="3"/>
      <c r="M789" s="2" t="s">
        <v>395</v>
      </c>
      <c r="N789" s="28"/>
    </row>
    <row r="790" spans="1:14" ht="36" customHeight="1" x14ac:dyDescent="0.25">
      <c r="A790" s="32"/>
      <c r="B790" s="45"/>
      <c r="C790" s="3"/>
      <c r="D790" s="3"/>
      <c r="E790" s="3"/>
      <c r="F790" s="3"/>
      <c r="G790" s="3">
        <f>273074</f>
        <v>273074</v>
      </c>
      <c r="H790" s="3"/>
      <c r="I790" s="3"/>
      <c r="J790" s="3"/>
      <c r="K790" s="3"/>
      <c r="L790" s="3"/>
      <c r="M790" s="2" t="s">
        <v>669</v>
      </c>
      <c r="N790" s="28"/>
    </row>
    <row r="791" spans="1:14" ht="15.75" hidden="1" customHeight="1" x14ac:dyDescent="0.25">
      <c r="A791" s="32"/>
      <c r="B791" s="45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2"/>
      <c r="N791" s="28"/>
    </row>
    <row r="792" spans="1:14" ht="15.75" hidden="1" customHeight="1" x14ac:dyDescent="0.25">
      <c r="A792" s="32"/>
      <c r="B792" s="45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2"/>
      <c r="N792" s="28"/>
    </row>
    <row r="793" spans="1:14" ht="15.75" hidden="1" customHeight="1" x14ac:dyDescent="0.25">
      <c r="A793" s="32"/>
      <c r="B793" s="45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2"/>
      <c r="N793" s="28"/>
    </row>
    <row r="794" spans="1:14" ht="45" x14ac:dyDescent="0.25">
      <c r="A794" s="32"/>
      <c r="B794" s="37" t="s">
        <v>227</v>
      </c>
      <c r="C794" s="3">
        <f>C795</f>
        <v>0</v>
      </c>
      <c r="D794" s="3"/>
      <c r="E794" s="3"/>
      <c r="F794" s="3"/>
      <c r="G794" s="3">
        <f t="shared" ref="G794:L794" si="266">G795</f>
        <v>950000</v>
      </c>
      <c r="H794" s="3">
        <f t="shared" si="266"/>
        <v>0</v>
      </c>
      <c r="I794" s="3"/>
      <c r="J794" s="3"/>
      <c r="K794" s="3">
        <f t="shared" si="266"/>
        <v>0</v>
      </c>
      <c r="L794" s="3">
        <f t="shared" si="266"/>
        <v>0</v>
      </c>
      <c r="M794" s="2"/>
      <c r="N794" s="28"/>
    </row>
    <row r="795" spans="1:14" ht="15.75" x14ac:dyDescent="0.25">
      <c r="A795" s="32"/>
      <c r="B795" s="45"/>
      <c r="C795" s="3"/>
      <c r="D795" s="3"/>
      <c r="E795" s="3"/>
      <c r="F795" s="3"/>
      <c r="G795" s="3">
        <v>950000</v>
      </c>
      <c r="H795" s="3"/>
      <c r="I795" s="81"/>
      <c r="J795" s="81"/>
      <c r="K795" s="81"/>
      <c r="L795" s="81"/>
      <c r="M795" s="2" t="s">
        <v>524</v>
      </c>
      <c r="N795" s="28"/>
    </row>
    <row r="796" spans="1:14" ht="30" x14ac:dyDescent="0.25">
      <c r="A796" s="32"/>
      <c r="B796" s="37" t="s">
        <v>223</v>
      </c>
      <c r="C796" s="3">
        <f>C797+C798</f>
        <v>0</v>
      </c>
      <c r="D796" s="3"/>
      <c r="E796" s="3"/>
      <c r="F796" s="3"/>
      <c r="G796" s="3">
        <f t="shared" ref="G796:L796" si="267">G797+G798</f>
        <v>75000</v>
      </c>
      <c r="H796" s="3">
        <f t="shared" si="267"/>
        <v>0</v>
      </c>
      <c r="I796" s="3"/>
      <c r="J796" s="3"/>
      <c r="K796" s="3">
        <f t="shared" si="267"/>
        <v>0</v>
      </c>
      <c r="L796" s="3">
        <f t="shared" si="267"/>
        <v>0</v>
      </c>
      <c r="M796" s="2"/>
      <c r="N796" s="28"/>
    </row>
    <row r="797" spans="1:14" ht="15.75" x14ac:dyDescent="0.25">
      <c r="A797" s="32"/>
      <c r="B797" s="45"/>
      <c r="C797" s="3"/>
      <c r="D797" s="3"/>
      <c r="E797" s="3"/>
      <c r="F797" s="3"/>
      <c r="G797" s="3">
        <v>75000</v>
      </c>
      <c r="H797" s="3"/>
      <c r="I797" s="3"/>
      <c r="J797" s="3"/>
      <c r="K797" s="3"/>
      <c r="L797" s="3"/>
      <c r="M797" s="2" t="s">
        <v>528</v>
      </c>
      <c r="N797" s="28"/>
    </row>
    <row r="798" spans="1:14" ht="31.5" hidden="1" x14ac:dyDescent="0.25">
      <c r="A798" s="32"/>
      <c r="B798" s="45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2" t="s">
        <v>340</v>
      </c>
      <c r="N798" s="28"/>
    </row>
    <row r="799" spans="1:14" ht="30" hidden="1" customHeight="1" x14ac:dyDescent="0.25">
      <c r="A799" s="32"/>
      <c r="B799" s="37" t="s">
        <v>396</v>
      </c>
      <c r="C799" s="3">
        <f t="shared" ref="C799" si="268">C800+C801</f>
        <v>0</v>
      </c>
      <c r="D799" s="3"/>
      <c r="E799" s="3"/>
      <c r="F799" s="3"/>
      <c r="G799" s="3">
        <f t="shared" ref="G799:L799" si="269">G800+G801</f>
        <v>0</v>
      </c>
      <c r="H799" s="3">
        <f t="shared" si="269"/>
        <v>0</v>
      </c>
      <c r="I799" s="3"/>
      <c r="J799" s="3"/>
      <c r="K799" s="3">
        <f t="shared" si="269"/>
        <v>0</v>
      </c>
      <c r="L799" s="3">
        <f t="shared" si="269"/>
        <v>0</v>
      </c>
      <c r="M799" s="2"/>
      <c r="N799" s="28"/>
    </row>
    <row r="800" spans="1:14" ht="15.75" hidden="1" customHeight="1" x14ac:dyDescent="0.25">
      <c r="A800" s="32"/>
      <c r="B800" s="45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2"/>
      <c r="N800" s="28"/>
    </row>
    <row r="801" spans="1:14" ht="15.75" hidden="1" customHeight="1" x14ac:dyDescent="0.25">
      <c r="A801" s="32"/>
      <c r="B801" s="45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2"/>
      <c r="N801" s="28"/>
    </row>
    <row r="802" spans="1:14" ht="60" x14ac:dyDescent="0.25">
      <c r="A802" s="32"/>
      <c r="B802" s="48" t="s">
        <v>137</v>
      </c>
      <c r="C802" s="7">
        <f>C803+C804</f>
        <v>0</v>
      </c>
      <c r="D802" s="7"/>
      <c r="E802" s="7"/>
      <c r="F802" s="7"/>
      <c r="G802" s="7">
        <f t="shared" ref="G802:L802" si="270">G803+G804</f>
        <v>237317</v>
      </c>
      <c r="H802" s="7">
        <f t="shared" si="270"/>
        <v>0</v>
      </c>
      <c r="I802" s="7"/>
      <c r="J802" s="7"/>
      <c r="K802" s="7">
        <f t="shared" si="270"/>
        <v>0</v>
      </c>
      <c r="L802" s="7">
        <f t="shared" si="270"/>
        <v>0</v>
      </c>
      <c r="M802" s="2"/>
      <c r="N802" s="28"/>
    </row>
    <row r="803" spans="1:14" ht="31.5" x14ac:dyDescent="0.25">
      <c r="A803" s="32"/>
      <c r="B803" s="48"/>
      <c r="C803" s="7"/>
      <c r="D803" s="7"/>
      <c r="E803" s="7"/>
      <c r="F803" s="7"/>
      <c r="G803" s="9">
        <v>237317</v>
      </c>
      <c r="H803" s="7"/>
      <c r="I803" s="7"/>
      <c r="J803" s="7"/>
      <c r="K803" s="7"/>
      <c r="L803" s="7"/>
      <c r="M803" s="2" t="s">
        <v>657</v>
      </c>
      <c r="N803" s="28"/>
    </row>
    <row r="804" spans="1:14" ht="15.75" hidden="1" customHeight="1" x14ac:dyDescent="0.25">
      <c r="A804" s="32"/>
      <c r="B804" s="48"/>
      <c r="C804" s="7"/>
      <c r="D804" s="7"/>
      <c r="E804" s="9"/>
      <c r="F804" s="7"/>
      <c r="G804" s="7">
        <v>0</v>
      </c>
      <c r="H804" s="7"/>
      <c r="I804" s="7"/>
      <c r="J804" s="7"/>
      <c r="K804" s="7"/>
      <c r="L804" s="7"/>
      <c r="M804" s="2"/>
      <c r="N804" s="28"/>
    </row>
    <row r="805" spans="1:14" ht="45" hidden="1" customHeight="1" x14ac:dyDescent="0.25">
      <c r="A805" s="32"/>
      <c r="B805" s="30" t="s">
        <v>123</v>
      </c>
      <c r="C805" s="8">
        <f>SUM(C806:C807)</f>
        <v>0</v>
      </c>
      <c r="D805" s="8"/>
      <c r="E805" s="8"/>
      <c r="F805" s="8"/>
      <c r="G805" s="8">
        <f t="shared" ref="G805:L805" si="271">SUM(G806:G807)</f>
        <v>0</v>
      </c>
      <c r="H805" s="8">
        <f t="shared" si="271"/>
        <v>0</v>
      </c>
      <c r="I805" s="8"/>
      <c r="J805" s="8"/>
      <c r="K805" s="8">
        <f t="shared" si="271"/>
        <v>0</v>
      </c>
      <c r="L805" s="8">
        <f t="shared" si="271"/>
        <v>0</v>
      </c>
      <c r="M805" s="2"/>
      <c r="N805" s="28"/>
    </row>
    <row r="806" spans="1:14" ht="15.75" hidden="1" customHeight="1" x14ac:dyDescent="0.25">
      <c r="A806" s="32"/>
      <c r="B806" s="30"/>
      <c r="C806" s="8"/>
      <c r="D806" s="8"/>
      <c r="E806" s="4"/>
      <c r="F806" s="4"/>
      <c r="G806" s="4"/>
      <c r="H806" s="8"/>
      <c r="I806" s="8"/>
      <c r="J806" s="8"/>
      <c r="K806" s="8"/>
      <c r="L806" s="8"/>
      <c r="M806" s="2"/>
      <c r="N806" s="28"/>
    </row>
    <row r="807" spans="1:14" ht="15.75" hidden="1" customHeight="1" x14ac:dyDescent="0.25">
      <c r="A807" s="32"/>
      <c r="B807" s="30"/>
      <c r="C807" s="8"/>
      <c r="D807" s="8"/>
      <c r="E807" s="4"/>
      <c r="F807" s="4"/>
      <c r="G807" s="4"/>
      <c r="H807" s="8"/>
      <c r="I807" s="8"/>
      <c r="J807" s="8"/>
      <c r="K807" s="8"/>
      <c r="L807" s="8"/>
      <c r="M807" s="2"/>
      <c r="N807" s="28"/>
    </row>
    <row r="808" spans="1:14" ht="45" hidden="1" customHeight="1" x14ac:dyDescent="0.25">
      <c r="A808" s="32"/>
      <c r="B808" s="49" t="s">
        <v>143</v>
      </c>
      <c r="C808" s="8">
        <f>C809+C810</f>
        <v>0</v>
      </c>
      <c r="D808" s="8"/>
      <c r="E808" s="8"/>
      <c r="F808" s="8"/>
      <c r="G808" s="8">
        <f t="shared" ref="G808:H808" si="272">G809+G810</f>
        <v>0</v>
      </c>
      <c r="H808" s="8">
        <f t="shared" si="272"/>
        <v>0</v>
      </c>
      <c r="I808" s="8"/>
      <c r="J808" s="8"/>
      <c r="K808" s="8">
        <f t="shared" ref="K808:L808" si="273">K809+K810</f>
        <v>0</v>
      </c>
      <c r="L808" s="8">
        <f t="shared" si="273"/>
        <v>0</v>
      </c>
      <c r="M808" s="2"/>
      <c r="N808" s="28"/>
    </row>
    <row r="809" spans="1:14" ht="15.75" hidden="1" customHeight="1" x14ac:dyDescent="0.25">
      <c r="A809" s="32"/>
      <c r="B809" s="30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2"/>
      <c r="N809" s="28"/>
    </row>
    <row r="810" spans="1:14" ht="15.75" hidden="1" customHeight="1" x14ac:dyDescent="0.25">
      <c r="A810" s="32"/>
      <c r="B810" s="30"/>
      <c r="C810" s="4"/>
      <c r="D810" s="4"/>
      <c r="E810" s="4"/>
      <c r="F810" s="4"/>
      <c r="G810" s="4">
        <v>0</v>
      </c>
      <c r="H810" s="4"/>
      <c r="I810" s="4"/>
      <c r="J810" s="4"/>
      <c r="K810" s="4"/>
      <c r="L810" s="4"/>
      <c r="M810" s="2"/>
      <c r="N810" s="28"/>
    </row>
    <row r="811" spans="1:14" ht="45" hidden="1" customHeight="1" x14ac:dyDescent="0.25">
      <c r="A811" s="32"/>
      <c r="B811" s="49" t="s">
        <v>158</v>
      </c>
      <c r="C811" s="8">
        <f>C812+C813</f>
        <v>0</v>
      </c>
      <c r="D811" s="8"/>
      <c r="E811" s="8"/>
      <c r="F811" s="8"/>
      <c r="G811" s="8">
        <f t="shared" ref="G811:L811" si="274">G812+G813</f>
        <v>0</v>
      </c>
      <c r="H811" s="8">
        <f t="shared" si="274"/>
        <v>0</v>
      </c>
      <c r="I811" s="8"/>
      <c r="J811" s="8"/>
      <c r="K811" s="8">
        <f t="shared" si="274"/>
        <v>0</v>
      </c>
      <c r="L811" s="8">
        <f t="shared" si="274"/>
        <v>0</v>
      </c>
      <c r="M811" s="2"/>
      <c r="N811" s="28"/>
    </row>
    <row r="812" spans="1:14" ht="15.75" hidden="1" customHeight="1" x14ac:dyDescent="0.25">
      <c r="A812" s="32"/>
      <c r="B812" s="137"/>
      <c r="C812" s="8"/>
      <c r="D812" s="8"/>
      <c r="E812" s="4"/>
      <c r="F812" s="8"/>
      <c r="G812" s="4"/>
      <c r="H812" s="8"/>
      <c r="I812" s="8"/>
      <c r="J812" s="8"/>
      <c r="K812" s="8"/>
      <c r="L812" s="8"/>
      <c r="M812" s="2"/>
      <c r="N812" s="28"/>
    </row>
    <row r="813" spans="1:14" ht="15.75" hidden="1" customHeight="1" x14ac:dyDescent="0.25">
      <c r="A813" s="32"/>
      <c r="B813" s="137"/>
      <c r="C813" s="8"/>
      <c r="D813" s="8"/>
      <c r="E813" s="4"/>
      <c r="F813" s="8"/>
      <c r="G813" s="8">
        <v>0</v>
      </c>
      <c r="H813" s="8"/>
      <c r="I813" s="8"/>
      <c r="J813" s="8"/>
      <c r="K813" s="8"/>
      <c r="L813" s="8"/>
      <c r="M813" s="2"/>
      <c r="N813" s="28"/>
    </row>
    <row r="814" spans="1:14" ht="46.5" customHeight="1" x14ac:dyDescent="0.25">
      <c r="A814" s="32"/>
      <c r="B814" s="30" t="s">
        <v>397</v>
      </c>
      <c r="C814" s="8">
        <f>C815</f>
        <v>0</v>
      </c>
      <c r="D814" s="8"/>
      <c r="E814" s="8"/>
      <c r="F814" s="8"/>
      <c r="G814" s="8">
        <f t="shared" ref="G814:L814" si="275">G815</f>
        <v>517319</v>
      </c>
      <c r="H814" s="8">
        <f t="shared" si="275"/>
        <v>0</v>
      </c>
      <c r="I814" s="8"/>
      <c r="J814" s="8"/>
      <c r="K814" s="8">
        <f t="shared" si="275"/>
        <v>0</v>
      </c>
      <c r="L814" s="8">
        <f t="shared" si="275"/>
        <v>0</v>
      </c>
      <c r="M814" s="2"/>
      <c r="N814" s="28"/>
    </row>
    <row r="815" spans="1:14" ht="31.5" x14ac:dyDescent="0.25">
      <c r="A815" s="32"/>
      <c r="B815" s="49"/>
      <c r="C815" s="8"/>
      <c r="D815" s="8"/>
      <c r="E815" s="4"/>
      <c r="F815" s="8"/>
      <c r="G815" s="4">
        <v>517319</v>
      </c>
      <c r="H815" s="8"/>
      <c r="I815" s="8"/>
      <c r="J815" s="8"/>
      <c r="K815" s="8"/>
      <c r="L815" s="8"/>
      <c r="M815" s="2" t="s">
        <v>529</v>
      </c>
      <c r="N815" s="28"/>
    </row>
    <row r="816" spans="1:14" ht="30" hidden="1" customHeight="1" x14ac:dyDescent="0.25">
      <c r="A816" s="32"/>
      <c r="B816" s="30" t="s">
        <v>398</v>
      </c>
      <c r="C816" s="8">
        <f t="shared" ref="C816" si="276">C817+C818</f>
        <v>0</v>
      </c>
      <c r="D816" s="8"/>
      <c r="E816" s="8"/>
      <c r="F816" s="8"/>
      <c r="G816" s="8">
        <f t="shared" ref="G816:L816" si="277">G817+G818</f>
        <v>0</v>
      </c>
      <c r="H816" s="8">
        <f t="shared" si="277"/>
        <v>0</v>
      </c>
      <c r="I816" s="8"/>
      <c r="J816" s="8"/>
      <c r="K816" s="8">
        <f t="shared" si="277"/>
        <v>70000</v>
      </c>
      <c r="L816" s="8">
        <f t="shared" si="277"/>
        <v>70000</v>
      </c>
      <c r="M816" s="2"/>
      <c r="N816" s="28"/>
    </row>
    <row r="817" spans="1:14" ht="15.75" hidden="1" customHeight="1" x14ac:dyDescent="0.25">
      <c r="A817" s="32"/>
      <c r="B817" s="49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2"/>
      <c r="N817" s="28"/>
    </row>
    <row r="818" spans="1:14" ht="31.5" hidden="1" customHeight="1" x14ac:dyDescent="0.25">
      <c r="A818" s="32"/>
      <c r="B818" s="49"/>
      <c r="C818" s="8"/>
      <c r="D818" s="8"/>
      <c r="E818" s="8"/>
      <c r="F818" s="8"/>
      <c r="G818" s="8"/>
      <c r="H818" s="8"/>
      <c r="I818" s="4"/>
      <c r="J818" s="4"/>
      <c r="K818" s="4">
        <v>70000</v>
      </c>
      <c r="L818" s="4">
        <v>70000</v>
      </c>
      <c r="M818" s="2" t="s">
        <v>399</v>
      </c>
      <c r="N818" s="28"/>
    </row>
    <row r="819" spans="1:14" ht="45" x14ac:dyDescent="0.25">
      <c r="A819" s="32"/>
      <c r="B819" s="49" t="s">
        <v>401</v>
      </c>
      <c r="C819" s="8">
        <f>SUM(C820:C825)</f>
        <v>0</v>
      </c>
      <c r="D819" s="8"/>
      <c r="E819" s="8"/>
      <c r="F819" s="8"/>
      <c r="G819" s="8">
        <f t="shared" ref="G819:L819" si="278">SUM(G820:G825)</f>
        <v>6815100</v>
      </c>
      <c r="H819" s="8">
        <f t="shared" si="278"/>
        <v>0</v>
      </c>
      <c r="I819" s="8"/>
      <c r="J819" s="8"/>
      <c r="K819" s="8">
        <f t="shared" si="278"/>
        <v>68000</v>
      </c>
      <c r="L819" s="8">
        <f t="shared" si="278"/>
        <v>68000</v>
      </c>
      <c r="M819" s="2"/>
      <c r="N819" s="28"/>
    </row>
    <row r="820" spans="1:14" ht="15.75" hidden="1" customHeight="1" x14ac:dyDescent="0.25">
      <c r="A820" s="32"/>
      <c r="B820" s="49"/>
      <c r="C820" s="8"/>
      <c r="D820" s="8"/>
      <c r="E820" s="4"/>
      <c r="F820" s="8"/>
      <c r="G820" s="4"/>
      <c r="H820" s="8"/>
      <c r="I820" s="8"/>
      <c r="J820" s="8"/>
      <c r="K820" s="8"/>
      <c r="L820" s="8"/>
      <c r="M820" s="2"/>
      <c r="N820" s="28"/>
    </row>
    <row r="821" spans="1:14" ht="31.5" hidden="1" customHeight="1" x14ac:dyDescent="0.25">
      <c r="A821" s="32"/>
      <c r="B821" s="49"/>
      <c r="C821" s="8"/>
      <c r="D821" s="8"/>
      <c r="E821" s="4"/>
      <c r="F821" s="8"/>
      <c r="G821" s="8"/>
      <c r="H821" s="8"/>
      <c r="I821" s="4"/>
      <c r="J821" s="4"/>
      <c r="K821" s="4">
        <v>68000</v>
      </c>
      <c r="L821" s="4">
        <v>68000</v>
      </c>
      <c r="M821" s="2" t="s">
        <v>385</v>
      </c>
      <c r="N821" s="28"/>
    </row>
    <row r="822" spans="1:14" ht="15.75" hidden="1" customHeight="1" x14ac:dyDescent="0.25">
      <c r="A822" s="32"/>
      <c r="B822" s="49"/>
      <c r="C822" s="8"/>
      <c r="D822" s="8"/>
      <c r="E822" s="4"/>
      <c r="F822" s="8"/>
      <c r="G822" s="4"/>
      <c r="H822" s="8"/>
      <c r="I822" s="8"/>
      <c r="J822" s="8"/>
      <c r="K822" s="8"/>
      <c r="L822" s="8"/>
      <c r="M822" s="2"/>
      <c r="N822" s="28"/>
    </row>
    <row r="823" spans="1:14" ht="15.75" hidden="1" customHeight="1" x14ac:dyDescent="0.25">
      <c r="A823" s="32"/>
      <c r="B823" s="49"/>
      <c r="C823" s="8"/>
      <c r="D823" s="8"/>
      <c r="E823" s="4"/>
      <c r="F823" s="8"/>
      <c r="G823" s="4"/>
      <c r="H823" s="8"/>
      <c r="I823" s="8"/>
      <c r="J823" s="8"/>
      <c r="K823" s="8"/>
      <c r="L823" s="8"/>
      <c r="M823" s="2"/>
      <c r="N823" s="28"/>
    </row>
    <row r="824" spans="1:14" ht="66" customHeight="1" x14ac:dyDescent="0.25">
      <c r="A824" s="32"/>
      <c r="B824" s="49"/>
      <c r="C824" s="8"/>
      <c r="D824" s="8"/>
      <c r="E824" s="4"/>
      <c r="F824" s="8"/>
      <c r="G824" s="4">
        <f>2400000+3300000+1115100</f>
        <v>6815100</v>
      </c>
      <c r="H824" s="8"/>
      <c r="I824" s="8"/>
      <c r="J824" s="8"/>
      <c r="K824" s="8"/>
      <c r="L824" s="8"/>
      <c r="M824" s="2" t="s">
        <v>670</v>
      </c>
      <c r="N824" s="28"/>
    </row>
    <row r="825" spans="1:14" ht="15.75" hidden="1" x14ac:dyDescent="0.25">
      <c r="A825" s="32"/>
      <c r="B825" s="49"/>
      <c r="C825" s="8"/>
      <c r="D825" s="8"/>
      <c r="E825" s="4"/>
      <c r="F825" s="8"/>
      <c r="G825" s="4"/>
      <c r="H825" s="8"/>
      <c r="I825" s="8"/>
      <c r="J825" s="8"/>
      <c r="K825" s="8"/>
      <c r="L825" s="8"/>
      <c r="M825" s="138"/>
      <c r="N825" s="28"/>
    </row>
    <row r="826" spans="1:14" ht="30" hidden="1" x14ac:dyDescent="0.25">
      <c r="A826" s="32"/>
      <c r="B826" s="30" t="s">
        <v>400</v>
      </c>
      <c r="C826" s="4">
        <f>C828+C829</f>
        <v>0</v>
      </c>
      <c r="D826" s="4"/>
      <c r="E826" s="4"/>
      <c r="F826" s="4"/>
      <c r="G826" s="4">
        <f t="shared" ref="G826:L826" si="279">G828+G829</f>
        <v>0</v>
      </c>
      <c r="H826" s="4">
        <f t="shared" si="279"/>
        <v>0</v>
      </c>
      <c r="I826" s="4"/>
      <c r="J826" s="4"/>
      <c r="K826" s="4">
        <f>K828+K829+K827</f>
        <v>11063922</v>
      </c>
      <c r="L826" s="4">
        <f t="shared" si="279"/>
        <v>0</v>
      </c>
      <c r="M826" s="139"/>
      <c r="N826" s="28"/>
    </row>
    <row r="827" spans="1:14" ht="47.25" hidden="1" x14ac:dyDescent="0.25">
      <c r="A827" s="32"/>
      <c r="B827" s="30"/>
      <c r="C827" s="4"/>
      <c r="D827" s="4"/>
      <c r="E827" s="4"/>
      <c r="F827" s="4"/>
      <c r="G827" s="4"/>
      <c r="H827" s="4"/>
      <c r="I827" s="4"/>
      <c r="J827" s="4"/>
      <c r="K827" s="14">
        <v>68000</v>
      </c>
      <c r="L827" s="14"/>
      <c r="M827" s="13" t="s">
        <v>577</v>
      </c>
      <c r="N827" s="28"/>
    </row>
    <row r="828" spans="1:14" ht="31.5" hidden="1" x14ac:dyDescent="0.25">
      <c r="A828" s="32"/>
      <c r="B828" s="49"/>
      <c r="C828" s="8"/>
      <c r="D828" s="8"/>
      <c r="E828" s="4"/>
      <c r="F828" s="8"/>
      <c r="G828" s="8"/>
      <c r="H828" s="8"/>
      <c r="I828" s="4"/>
      <c r="J828" s="8"/>
      <c r="K828" s="14">
        <v>10995922</v>
      </c>
      <c r="L828" s="15"/>
      <c r="M828" s="16" t="s">
        <v>578</v>
      </c>
      <c r="N828" s="28"/>
    </row>
    <row r="829" spans="1:14" ht="15.75" hidden="1" x14ac:dyDescent="0.25">
      <c r="A829" s="32"/>
      <c r="B829" s="49"/>
      <c r="C829" s="8"/>
      <c r="D829" s="8"/>
      <c r="E829" s="4"/>
      <c r="F829" s="8"/>
      <c r="G829" s="4"/>
      <c r="H829" s="8"/>
      <c r="I829" s="8"/>
      <c r="J829" s="8"/>
      <c r="K829" s="8"/>
      <c r="L829" s="8"/>
      <c r="M829" s="139"/>
      <c r="N829" s="28"/>
    </row>
    <row r="830" spans="1:14" ht="15.75" hidden="1" x14ac:dyDescent="0.25">
      <c r="A830" s="32"/>
      <c r="B830" s="137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140"/>
      <c r="N830" s="28"/>
    </row>
    <row r="831" spans="1:14" ht="15.75" hidden="1" x14ac:dyDescent="0.25">
      <c r="A831" s="32"/>
      <c r="B831" s="137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140"/>
      <c r="N831" s="28"/>
    </row>
    <row r="832" spans="1:14" ht="15.75" hidden="1" x14ac:dyDescent="0.25">
      <c r="A832" s="32"/>
      <c r="B832" s="137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140"/>
      <c r="N832" s="28"/>
    </row>
    <row r="833" spans="1:14" ht="15.75" hidden="1" x14ac:dyDescent="0.25">
      <c r="A833" s="32"/>
      <c r="B833" s="137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140"/>
      <c r="N833" s="28"/>
    </row>
    <row r="834" spans="1:14" ht="15.75" x14ac:dyDescent="0.25">
      <c r="A834" s="32"/>
      <c r="B834" s="141" t="s">
        <v>45</v>
      </c>
      <c r="C834" s="10">
        <f>C629+C599+C614+C557+C496+C442+C420+C394+C388+C362+C336+C317+C307+C266+C245+C213+C202+C182+C168+C112+C58+C9+C584+C546+C552</f>
        <v>651692280</v>
      </c>
      <c r="D834" s="10"/>
      <c r="E834" s="10"/>
      <c r="F834" s="10"/>
      <c r="G834" s="10">
        <f>G629+G599+G614+G557+G496+G442+G420+G394+G388+G362+G336+G317+G307+G266+G245+G213+G202+G182+G168+G112+G58+G9+G584+G546+G552</f>
        <v>2359997943.6666665</v>
      </c>
      <c r="H834" s="10">
        <f>H629+H599+H614+H557+H496+H442+H420+H394+H388+H362+H336+H317+H307+H266+H245+H213+H202+H182+H168+H112+H58+H9+H584+H546+H552</f>
        <v>131519364</v>
      </c>
      <c r="I834" s="10"/>
      <c r="J834" s="10"/>
      <c r="K834" s="10">
        <f>K629+K599+K614+K557+K496+K442+K420+K394+K388+K362+K336+K317+K307+K266+K245+K213+K202+K182+K168+K112+K58+K9+K584+K546+K552</f>
        <v>6582550171</v>
      </c>
      <c r="L834" s="10">
        <f>L629+L599+L614+L557+L496+L442+L420+L394+L388+L362+L336+L317+L307+L266+L245+L213+L202+L182+L168+L112+L58+L9+L584+L546+L552</f>
        <v>5805363482</v>
      </c>
      <c r="M834" s="142"/>
      <c r="N834" s="28"/>
    </row>
    <row r="835" spans="1:14" ht="15" x14ac:dyDescent="0.2">
      <c r="A835" s="143"/>
      <c r="B835" s="144"/>
      <c r="C835" s="145"/>
      <c r="D835" s="145"/>
      <c r="E835" s="146"/>
      <c r="F835" s="146"/>
      <c r="G835" s="146"/>
      <c r="H835" s="146"/>
      <c r="I835" s="146"/>
      <c r="J835" s="146">
        <f>I834-J834</f>
        <v>0</v>
      </c>
      <c r="K835" s="146"/>
      <c r="L835" s="146">
        <f>K834-L834</f>
        <v>777186689</v>
      </c>
      <c r="M835" s="147"/>
    </row>
    <row r="836" spans="1:14" x14ac:dyDescent="0.2">
      <c r="E836" s="28"/>
      <c r="F836" s="28"/>
      <c r="G836" s="28"/>
      <c r="H836" s="28"/>
      <c r="I836" s="28"/>
      <c r="J836" s="28"/>
      <c r="K836" s="28"/>
      <c r="L836" s="28"/>
    </row>
    <row r="837" spans="1:14" ht="15.75" hidden="1" x14ac:dyDescent="0.25">
      <c r="B837" s="149" t="s">
        <v>206</v>
      </c>
      <c r="C837" s="27"/>
      <c r="D837" s="27"/>
      <c r="E837" s="27">
        <v>75000000</v>
      </c>
      <c r="F837" s="27"/>
      <c r="G837" s="27">
        <v>75000000</v>
      </c>
      <c r="H837" s="27"/>
      <c r="I837" s="27"/>
      <c r="J837" s="27"/>
      <c r="K837" s="27"/>
      <c r="L837" s="27"/>
      <c r="M837" s="150"/>
    </row>
    <row r="838" spans="1:14" ht="15.75" hidden="1" x14ac:dyDescent="0.25">
      <c r="B838" s="149" t="s">
        <v>207</v>
      </c>
      <c r="C838" s="27"/>
      <c r="D838" s="27"/>
      <c r="E838" s="27">
        <v>768628151</v>
      </c>
      <c r="F838" s="27"/>
      <c r="G838" s="27">
        <v>426919970</v>
      </c>
      <c r="H838" s="27">
        <v>246584</v>
      </c>
      <c r="I838" s="27">
        <v>733043</v>
      </c>
      <c r="J838" s="27">
        <f>21715043+5000000</f>
        <v>26715043</v>
      </c>
      <c r="K838" s="27">
        <v>733043</v>
      </c>
      <c r="L838" s="27">
        <f>21715043+5000000</f>
        <v>26715043</v>
      </c>
      <c r="M838" s="150"/>
    </row>
    <row r="839" spans="1:14" ht="15.75" hidden="1" x14ac:dyDescent="0.25">
      <c r="B839" s="149" t="s">
        <v>208</v>
      </c>
      <c r="C839" s="27">
        <f>2962500-1900000</f>
        <v>1062500</v>
      </c>
      <c r="D839" s="27"/>
      <c r="E839" s="27">
        <v>844389904</v>
      </c>
      <c r="F839" s="27">
        <v>9465010</v>
      </c>
      <c r="G839" s="27">
        <f>2600000+171856693</f>
        <v>174456693</v>
      </c>
      <c r="H839" s="27">
        <v>10655821</v>
      </c>
      <c r="I839" s="27">
        <f>76266386+1900000</f>
        <v>78166386</v>
      </c>
      <c r="J839" s="27">
        <v>67965386</v>
      </c>
      <c r="K839" s="27">
        <f>1051000+75215386+1900000</f>
        <v>78166386</v>
      </c>
      <c r="L839" s="27">
        <v>67965386</v>
      </c>
      <c r="M839" s="150"/>
    </row>
    <row r="840" spans="1:14" ht="15.75" hidden="1" x14ac:dyDescent="0.25">
      <c r="B840" s="149" t="s">
        <v>209</v>
      </c>
      <c r="C840" s="27">
        <v>258785062</v>
      </c>
      <c r="D840" s="27"/>
      <c r="E840" s="27">
        <v>4071903487</v>
      </c>
      <c r="F840" s="27">
        <v>1123902</v>
      </c>
      <c r="G840" s="27">
        <v>1802732622</v>
      </c>
      <c r="H840" s="27">
        <v>1123902</v>
      </c>
      <c r="I840" s="27">
        <v>366391044</v>
      </c>
      <c r="J840" s="27">
        <v>375342044</v>
      </c>
      <c r="K840" s="27">
        <v>366391044</v>
      </c>
      <c r="L840" s="27">
        <f>374291044+1051000</f>
        <v>375342044</v>
      </c>
      <c r="M840" s="150"/>
    </row>
    <row r="841" spans="1:14" ht="15.75" hidden="1" x14ac:dyDescent="0.25">
      <c r="B841" s="149" t="s">
        <v>210</v>
      </c>
      <c r="C841" s="27">
        <v>408614300</v>
      </c>
      <c r="D841" s="27"/>
      <c r="E841" s="27">
        <v>221885550</v>
      </c>
      <c r="F841" s="27"/>
      <c r="G841" s="27"/>
      <c r="H841" s="27">
        <v>37087529</v>
      </c>
      <c r="I841" s="27">
        <f>5895254802-36068000-1294346800</f>
        <v>4564840002</v>
      </c>
      <c r="J841" s="27">
        <f>5844454802-1294346800</f>
        <v>4550108002</v>
      </c>
      <c r="K841" s="27">
        <f>5858464523-36068000-1294346800</f>
        <v>4528049723</v>
      </c>
      <c r="L841" s="27">
        <f>5807664523-1294346800</f>
        <v>4513317723</v>
      </c>
      <c r="M841" s="150"/>
    </row>
    <row r="842" spans="1:14" ht="15.75" hidden="1" x14ac:dyDescent="0.25">
      <c r="B842" s="149" t="s">
        <v>211</v>
      </c>
      <c r="C842" s="10">
        <v>-151573000</v>
      </c>
      <c r="D842" s="10"/>
      <c r="E842" s="10">
        <v>48360513</v>
      </c>
      <c r="F842" s="10">
        <v>34000000</v>
      </c>
      <c r="G842" s="10"/>
      <c r="H842" s="10">
        <v>34000000</v>
      </c>
      <c r="I842" s="10">
        <f>266171287-36068000</f>
        <v>230103287</v>
      </c>
      <c r="J842" s="10">
        <f>261171287-41068000</f>
        <v>220103287</v>
      </c>
      <c r="K842" s="10">
        <f>266171287-36068000</f>
        <v>230103287</v>
      </c>
      <c r="L842" s="10">
        <f>261171287-41068000</f>
        <v>220103287</v>
      </c>
      <c r="M842" s="150"/>
    </row>
    <row r="843" spans="1:14" ht="15.75" hidden="1" x14ac:dyDescent="0.25">
      <c r="B843" s="149" t="s">
        <v>212</v>
      </c>
      <c r="C843" s="27"/>
      <c r="D843" s="27"/>
      <c r="E843" s="27">
        <v>326734000</v>
      </c>
      <c r="F843" s="27"/>
      <c r="G843" s="27"/>
      <c r="H843" s="27"/>
      <c r="I843" s="27"/>
      <c r="J843" s="27"/>
      <c r="K843" s="27"/>
      <c r="L843" s="27"/>
      <c r="M843" s="150"/>
    </row>
    <row r="844" spans="1:14" ht="15.75" hidden="1" x14ac:dyDescent="0.25">
      <c r="B844" s="149" t="s">
        <v>213</v>
      </c>
      <c r="C844" s="27">
        <v>136064100</v>
      </c>
      <c r="D844" s="27"/>
      <c r="E844" s="27">
        <v>155447545</v>
      </c>
      <c r="F844" s="27"/>
      <c r="G844" s="27">
        <v>79703212</v>
      </c>
      <c r="H844" s="27"/>
      <c r="I844" s="27">
        <v>16402766</v>
      </c>
      <c r="J844" s="27">
        <v>16402766</v>
      </c>
      <c r="K844" s="27">
        <v>16402766</v>
      </c>
      <c r="L844" s="27">
        <v>16402766</v>
      </c>
      <c r="M844" s="150"/>
    </row>
    <row r="845" spans="1:14" ht="15.75" hidden="1" x14ac:dyDescent="0.25">
      <c r="B845" s="151" t="s">
        <v>214</v>
      </c>
      <c r="C845" s="27">
        <f>C838+C839+C840+C841+C842+C843+C844+C837</f>
        <v>652952962</v>
      </c>
      <c r="D845" s="27">
        <f t="shared" ref="D845:J845" si="280">D838+D839+D840+D841+D842+D843+D844+D837</f>
        <v>0</v>
      </c>
      <c r="E845" s="27">
        <f t="shared" si="280"/>
        <v>6512349150</v>
      </c>
      <c r="F845" s="27">
        <f t="shared" si="280"/>
        <v>44588912</v>
      </c>
      <c r="G845" s="27">
        <f t="shared" si="280"/>
        <v>2558812497</v>
      </c>
      <c r="H845" s="27">
        <f t="shared" si="280"/>
        <v>83113836</v>
      </c>
      <c r="I845" s="27">
        <f t="shared" si="280"/>
        <v>5256636528</v>
      </c>
      <c r="J845" s="27">
        <f t="shared" si="280"/>
        <v>5256636528</v>
      </c>
      <c r="K845" s="27">
        <f t="shared" ref="K845" si="281">K838+K839+K840+K841+K842+K843+K844+K837</f>
        <v>5219846249</v>
      </c>
      <c r="L845" s="27">
        <f t="shared" ref="L845" si="282">L838+L839+L840+L841+L842+L843+L844+L837</f>
        <v>5219846249</v>
      </c>
      <c r="M845" s="150"/>
    </row>
    <row r="846" spans="1:14" ht="15.75" hidden="1" x14ac:dyDescent="0.25">
      <c r="B846" s="151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150"/>
    </row>
    <row r="847" spans="1:14" ht="15.75" hidden="1" x14ac:dyDescent="0.25">
      <c r="B847" s="151" t="s">
        <v>215</v>
      </c>
      <c r="C847" s="27">
        <f t="shared" ref="C847:D847" si="283">C834-C845</f>
        <v>-1260682</v>
      </c>
      <c r="D847" s="27">
        <f t="shared" si="283"/>
        <v>0</v>
      </c>
      <c r="E847" s="27">
        <f>E834-E845</f>
        <v>-6512349150</v>
      </c>
      <c r="F847" s="27">
        <f t="shared" ref="F847:I847" si="284">F834-F845</f>
        <v>-44588912</v>
      </c>
      <c r="G847" s="27">
        <f t="shared" si="284"/>
        <v>-198814553.33333349</v>
      </c>
      <c r="H847" s="27">
        <f t="shared" si="284"/>
        <v>48405528</v>
      </c>
      <c r="I847" s="27">
        <f t="shared" si="284"/>
        <v>-5256636528</v>
      </c>
      <c r="J847" s="27">
        <f>J834-J845</f>
        <v>-5256636528</v>
      </c>
      <c r="K847" s="27">
        <f>K834-K845</f>
        <v>1362703922</v>
      </c>
      <c r="L847" s="27">
        <f>L834-L845</f>
        <v>585517233</v>
      </c>
      <c r="M847" s="150"/>
    </row>
    <row r="848" spans="1:14" x14ac:dyDescent="0.2">
      <c r="C848" s="28"/>
      <c r="E848" s="28"/>
      <c r="H848" s="28"/>
    </row>
  </sheetData>
  <mergeCells count="17">
    <mergeCell ref="E721:E725"/>
    <mergeCell ref="E726:E731"/>
    <mergeCell ref="E707:E719"/>
    <mergeCell ref="B502:B503"/>
    <mergeCell ref="B504:B505"/>
    <mergeCell ref="B535:B536"/>
    <mergeCell ref="B550:B551"/>
    <mergeCell ref="A4:M4"/>
    <mergeCell ref="A6:A8"/>
    <mergeCell ref="B6:B8"/>
    <mergeCell ref="C6:C8"/>
    <mergeCell ref="I6:J6"/>
    <mergeCell ref="M6:M8"/>
    <mergeCell ref="I7:J7"/>
    <mergeCell ref="H6:H8"/>
    <mergeCell ref="K6:L7"/>
    <mergeCell ref="G6:G8"/>
  </mergeCells>
  <phoneticPr fontId="0" type="noConversion"/>
  <printOptions horizontalCentered="1"/>
  <pageMargins left="0.27559055118110237" right="0.23622047244094491" top="0.47244094488188981" bottom="0.31496062992125984" header="0.15748031496062992" footer="0.27559055118110237"/>
  <pageSetup paperSize="9" scale="90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Леонова Анна Владимировна</cp:lastModifiedBy>
  <cp:lastPrinted>2018-06-08T13:05:10Z</cp:lastPrinted>
  <dcterms:created xsi:type="dcterms:W3CDTF">2009-11-20T12:52:24Z</dcterms:created>
  <dcterms:modified xsi:type="dcterms:W3CDTF">2018-06-08T13:10:54Z</dcterms:modified>
</cp:coreProperties>
</file>