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60" windowWidth="28800" windowHeight="11940"/>
  </bookViews>
  <sheets>
    <sheet name="Задание и перечень мероприятий" sheetId="1" r:id="rId1"/>
  </sheets>
  <externalReferences>
    <externalReference r:id="rId2"/>
  </externalReferences>
  <definedNames>
    <definedName name="_xlnm._FilterDatabase" localSheetId="0" hidden="1">'Задание и перечень мероприятий'!#REF!</definedName>
    <definedName name="_xlnm.Print_Titles" localSheetId="0">'Задание и перечень мероприятий'!$12:$14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3" i="1" l="1"/>
  <c r="P143" i="1"/>
  <c r="O143" i="1"/>
  <c r="AF131" i="1"/>
  <c r="Z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Y119" i="1"/>
  <c r="Y118" i="1"/>
  <c r="Y117" i="1"/>
  <c r="Y116" i="1"/>
  <c r="Z113" i="1"/>
  <c r="X113" i="1"/>
  <c r="W113" i="1"/>
  <c r="V113" i="1"/>
  <c r="T113" i="1"/>
  <c r="S113" i="1"/>
  <c r="R113" i="1"/>
  <c r="Q113" i="1"/>
  <c r="P113" i="1"/>
  <c r="O113" i="1"/>
  <c r="N113" i="1"/>
  <c r="M113" i="1"/>
  <c r="K113" i="1"/>
  <c r="L112" i="1"/>
  <c r="Y112" i="1" s="1"/>
  <c r="L111" i="1"/>
  <c r="Y111" i="1" s="1"/>
  <c r="L110" i="1"/>
  <c r="Y110" i="1" s="1"/>
  <c r="U109" i="1"/>
  <c r="Y109" i="1" s="1"/>
  <c r="L108" i="1"/>
  <c r="Z106" i="1"/>
  <c r="Y106" i="1"/>
  <c r="X106" i="1"/>
  <c r="P106" i="1"/>
  <c r="O106" i="1"/>
  <c r="N106" i="1"/>
  <c r="M106" i="1"/>
  <c r="L106" i="1"/>
  <c r="K106" i="1"/>
  <c r="Z100" i="1"/>
  <c r="X100" i="1"/>
  <c r="W100" i="1"/>
  <c r="V100" i="1"/>
  <c r="U100" i="1"/>
  <c r="N99" i="1"/>
  <c r="L98" i="1"/>
  <c r="M98" i="1" s="1"/>
  <c r="N98" i="1" s="1"/>
  <c r="O98" i="1" s="1"/>
  <c r="K97" i="1"/>
  <c r="K96" i="1"/>
  <c r="K95" i="1"/>
  <c r="K94" i="1"/>
  <c r="K93" i="1"/>
  <c r="P92" i="1"/>
  <c r="K92" i="1"/>
  <c r="Z88" i="1"/>
  <c r="Z89" i="1" s="1"/>
  <c r="X88" i="1"/>
  <c r="W88" i="1"/>
  <c r="V88" i="1"/>
  <c r="U88" i="1"/>
  <c r="U89" i="1" s="1"/>
  <c r="T88" i="1"/>
  <c r="S88" i="1"/>
  <c r="R88" i="1"/>
  <c r="R89" i="1" s="1"/>
  <c r="R124" i="1" s="1"/>
  <c r="Q88" i="1"/>
  <c r="Q89" i="1" s="1"/>
  <c r="P88" i="1"/>
  <c r="N88" i="1"/>
  <c r="M88" i="1"/>
  <c r="L88" i="1"/>
  <c r="O87" i="1"/>
  <c r="O88" i="1" s="1"/>
  <c r="K87" i="1"/>
  <c r="K88" i="1" s="1"/>
  <c r="Z86" i="1"/>
  <c r="X86" i="1"/>
  <c r="W86" i="1"/>
  <c r="V86" i="1"/>
  <c r="V89" i="1" s="1"/>
  <c r="V124" i="1" s="1"/>
  <c r="U86" i="1"/>
  <c r="T86" i="1"/>
  <c r="S86" i="1"/>
  <c r="R86" i="1"/>
  <c r="Q86" i="1"/>
  <c r="P86" i="1"/>
  <c r="O86" i="1"/>
  <c r="N86" i="1"/>
  <c r="M86" i="1"/>
  <c r="L86" i="1"/>
  <c r="K86" i="1"/>
  <c r="Y85" i="1"/>
  <c r="Y84" i="1"/>
  <c r="Y83" i="1"/>
  <c r="Y82" i="1"/>
  <c r="Y81" i="1"/>
  <c r="Y80" i="1"/>
  <c r="Y79" i="1"/>
  <c r="Y78" i="1"/>
  <c r="Y77" i="1"/>
  <c r="Y76" i="1"/>
  <c r="Y75" i="1"/>
  <c r="Y74" i="1"/>
  <c r="Z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H54" i="1"/>
  <c r="Z53" i="1"/>
  <c r="Z124" i="1" s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Y52" i="1"/>
  <c r="Y51" i="1"/>
  <c r="Y50" i="1"/>
  <c r="Z47" i="1"/>
  <c r="X44" i="1"/>
  <c r="W44" i="1"/>
  <c r="V44" i="1"/>
  <c r="U44" i="1"/>
  <c r="S44" i="1"/>
  <c r="R44" i="1"/>
  <c r="Q44" i="1"/>
  <c r="P44" i="1"/>
  <c r="O44" i="1"/>
  <c r="N44" i="1"/>
  <c r="M44" i="1"/>
  <c r="L44" i="1"/>
  <c r="K44" i="1"/>
  <c r="T44" i="1" s="1"/>
  <c r="AD42" i="1"/>
  <c r="X42" i="1"/>
  <c r="W42" i="1"/>
  <c r="V42" i="1"/>
  <c r="U42" i="1"/>
  <c r="T42" i="1"/>
  <c r="S42" i="1"/>
  <c r="R42" i="1"/>
  <c r="Q42" i="1"/>
  <c r="P42" i="1"/>
  <c r="O42" i="1"/>
  <c r="N42" i="1"/>
  <c r="M42" i="1"/>
  <c r="K42" i="1"/>
  <c r="L42" i="1" s="1"/>
  <c r="AC40" i="1"/>
  <c r="X40" i="1"/>
  <c r="W40" i="1"/>
  <c r="V40" i="1"/>
  <c r="U40" i="1"/>
  <c r="T40" i="1"/>
  <c r="S40" i="1"/>
  <c r="R40" i="1"/>
  <c r="Q40" i="1"/>
  <c r="P40" i="1"/>
  <c r="O40" i="1"/>
  <c r="N40" i="1"/>
  <c r="M40" i="1"/>
  <c r="K40" i="1"/>
  <c r="L40" i="1" s="1"/>
  <c r="AC38" i="1"/>
  <c r="X38" i="1"/>
  <c r="W38" i="1"/>
  <c r="V38" i="1"/>
  <c r="U38" i="1"/>
  <c r="T38" i="1"/>
  <c r="S38" i="1"/>
  <c r="R38" i="1"/>
  <c r="Q38" i="1"/>
  <c r="P38" i="1"/>
  <c r="O38" i="1"/>
  <c r="N38" i="1"/>
  <c r="M38" i="1"/>
  <c r="K38" i="1"/>
  <c r="L38" i="1" s="1"/>
  <c r="Z34" i="1"/>
  <c r="W34" i="1"/>
  <c r="V34" i="1"/>
  <c r="N34" i="1"/>
  <c r="M34" i="1"/>
  <c r="L34" i="1"/>
  <c r="U33" i="1"/>
  <c r="U34" i="1" s="1"/>
  <c r="T33" i="1"/>
  <c r="X33" i="1" s="1"/>
  <c r="X34" i="1" s="1"/>
  <c r="K32" i="1"/>
  <c r="O32" i="1" s="1"/>
  <c r="O34" i="1" s="1"/>
  <c r="Y31" i="1"/>
  <c r="H31" i="1"/>
  <c r="S30" i="1"/>
  <c r="T30" i="1" s="1"/>
  <c r="G30" i="1"/>
  <c r="K29" i="1"/>
  <c r="Q29" i="1" s="1"/>
  <c r="R29" i="1" s="1"/>
  <c r="S29" i="1" s="1"/>
  <c r="K28" i="1"/>
  <c r="AD26" i="1"/>
  <c r="Z26" i="1"/>
  <c r="Z125" i="1" s="1"/>
  <c r="X26" i="1"/>
  <c r="X125" i="1" s="1"/>
  <c r="W26" i="1"/>
  <c r="V26" i="1"/>
  <c r="V125" i="1" s="1"/>
  <c r="U26" i="1"/>
  <c r="T26" i="1"/>
  <c r="T125" i="1" s="1"/>
  <c r="S26" i="1"/>
  <c r="R26" i="1"/>
  <c r="R125" i="1" s="1"/>
  <c r="Q26" i="1"/>
  <c r="P26" i="1"/>
  <c r="P125" i="1" s="1"/>
  <c r="O26" i="1"/>
  <c r="N26" i="1"/>
  <c r="N125" i="1" s="1"/>
  <c r="M26" i="1"/>
  <c r="L26" i="1"/>
  <c r="L125" i="1" s="1"/>
  <c r="K26" i="1"/>
  <c r="AD20" i="1"/>
  <c r="Y19" i="1"/>
  <c r="Y26" i="1" s="1"/>
  <c r="Y99" i="1" l="1"/>
  <c r="T34" i="1"/>
  <c r="O99" i="1"/>
  <c r="P99" i="1" s="1"/>
  <c r="L89" i="1"/>
  <c r="L124" i="1" s="1"/>
  <c r="K34" i="1"/>
  <c r="AE35" i="1" s="1"/>
  <c r="AE36" i="1" s="1"/>
  <c r="Y73" i="1"/>
  <c r="N89" i="1"/>
  <c r="S89" i="1"/>
  <c r="S124" i="1" s="1"/>
  <c r="W89" i="1"/>
  <c r="Y53" i="1"/>
  <c r="Y86" i="1"/>
  <c r="O89" i="1"/>
  <c r="P89" i="1"/>
  <c r="T89" i="1"/>
  <c r="X89" i="1"/>
  <c r="U113" i="1"/>
  <c r="V47" i="1"/>
  <c r="V90" i="1" s="1"/>
  <c r="V123" i="1" s="1"/>
  <c r="T47" i="1"/>
  <c r="T90" i="1" s="1"/>
  <c r="X47" i="1"/>
  <c r="X90" i="1" s="1"/>
  <c r="X123" i="1" s="1"/>
  <c r="L47" i="1"/>
  <c r="L90" i="1" s="1"/>
  <c r="L123" i="1" s="1"/>
  <c r="N47" i="1"/>
  <c r="N90" i="1" s="1"/>
  <c r="P47" i="1"/>
  <c r="R47" i="1"/>
  <c r="R90" i="1" s="1"/>
  <c r="Z90" i="1"/>
  <c r="Z123" i="1" s="1"/>
  <c r="Y38" i="1"/>
  <c r="M47" i="1"/>
  <c r="O47" i="1"/>
  <c r="Q47" i="1"/>
  <c r="Q90" i="1" s="1"/>
  <c r="S47" i="1"/>
  <c r="S90" i="1" s="1"/>
  <c r="N124" i="1"/>
  <c r="Y125" i="1"/>
  <c r="P124" i="1"/>
  <c r="T124" i="1"/>
  <c r="X124" i="1"/>
  <c r="Y29" i="1"/>
  <c r="Y30" i="1"/>
  <c r="Y33" i="1"/>
  <c r="Y40" i="1"/>
  <c r="Y42" i="1"/>
  <c r="Y44" i="1"/>
  <c r="K47" i="1"/>
  <c r="Y124" i="1"/>
  <c r="O124" i="1"/>
  <c r="Q124" i="1"/>
  <c r="U124" i="1"/>
  <c r="W124" i="1"/>
  <c r="M93" i="1"/>
  <c r="S95" i="1"/>
  <c r="S96" i="1"/>
  <c r="L97" i="1"/>
  <c r="L100" i="1" s="1"/>
  <c r="L113" i="1"/>
  <c r="Y108" i="1"/>
  <c r="Y113" i="1" s="1"/>
  <c r="K125" i="1"/>
  <c r="M125" i="1"/>
  <c r="O125" i="1"/>
  <c r="Q125" i="1"/>
  <c r="S125" i="1"/>
  <c r="U125" i="1"/>
  <c r="W125" i="1"/>
  <c r="P28" i="1"/>
  <c r="P32" i="1"/>
  <c r="Y32" i="1" s="1"/>
  <c r="U47" i="1"/>
  <c r="U90" i="1" s="1"/>
  <c r="W47" i="1"/>
  <c r="AD38" i="1"/>
  <c r="K89" i="1"/>
  <c r="Y87" i="1"/>
  <c r="Y88" i="1" s="1"/>
  <c r="M89" i="1"/>
  <c r="K100" i="1"/>
  <c r="AE115" i="1" s="1"/>
  <c r="O93" i="1"/>
  <c r="M94" i="1"/>
  <c r="O94" i="1" s="1"/>
  <c r="P94" i="1" s="1"/>
  <c r="Q94" i="1" s="1"/>
  <c r="T96" i="1"/>
  <c r="Y96" i="1" s="1"/>
  <c r="M97" i="1"/>
  <c r="N97" i="1" s="1"/>
  <c r="Y98" i="1"/>
  <c r="Y122" i="1"/>
  <c r="R92" i="1"/>
  <c r="Y95" i="1" l="1"/>
  <c r="T95" i="1"/>
  <c r="W90" i="1"/>
  <c r="W123" i="1" s="1"/>
  <c r="O90" i="1"/>
  <c r="Y89" i="1"/>
  <c r="U123" i="1"/>
  <c r="U127" i="1" s="1"/>
  <c r="P90" i="1"/>
  <c r="AE48" i="1"/>
  <c r="AE49" i="1" s="1"/>
  <c r="Y47" i="1"/>
  <c r="Y90" i="1" s="1"/>
  <c r="W127" i="1"/>
  <c r="W15" i="1"/>
  <c r="S92" i="1"/>
  <c r="S100" i="1" s="1"/>
  <c r="R100" i="1"/>
  <c r="V127" i="1"/>
  <c r="V15" i="1"/>
  <c r="P93" i="1"/>
  <c r="M124" i="1"/>
  <c r="M90" i="1"/>
  <c r="K124" i="1"/>
  <c r="K90" i="1"/>
  <c r="K123" i="1" s="1"/>
  <c r="K15" i="1" s="1"/>
  <c r="P34" i="1"/>
  <c r="Q28" i="1"/>
  <c r="L15" i="1"/>
  <c r="L127" i="1"/>
  <c r="Y92" i="1"/>
  <c r="N100" i="1"/>
  <c r="N123" i="1" s="1"/>
  <c r="O97" i="1"/>
  <c r="Y97" i="1" s="1"/>
  <c r="T100" i="1"/>
  <c r="T123" i="1" s="1"/>
  <c r="Y94" i="1"/>
  <c r="X15" i="1"/>
  <c r="X127" i="1"/>
  <c r="M100" i="1"/>
  <c r="U15" i="1" l="1"/>
  <c r="T15" i="1"/>
  <c r="T127" i="1"/>
  <c r="N127" i="1"/>
  <c r="N15" i="1"/>
  <c r="AC46" i="1" s="1"/>
  <c r="Q34" i="1"/>
  <c r="R28" i="1"/>
  <c r="M123" i="1"/>
  <c r="Q93" i="1"/>
  <c r="P100" i="1"/>
  <c r="P123" i="1" s="1"/>
  <c r="O100" i="1"/>
  <c r="O123" i="1" s="1"/>
  <c r="O127" i="1" l="1"/>
  <c r="O15" i="1"/>
  <c r="Q100" i="1"/>
  <c r="Y93" i="1"/>
  <c r="Y100" i="1" s="1"/>
  <c r="R34" i="1"/>
  <c r="R123" i="1" s="1"/>
  <c r="S28" i="1"/>
  <c r="P15" i="1"/>
  <c r="P127" i="1"/>
  <c r="M127" i="1"/>
  <c r="M15" i="1"/>
  <c r="Q123" i="1"/>
  <c r="Q127" i="1" l="1"/>
  <c r="Q15" i="1"/>
  <c r="S34" i="1"/>
  <c r="S123" i="1" s="1"/>
  <c r="Y28" i="1"/>
  <c r="Y34" i="1" s="1"/>
  <c r="Y123" i="1" s="1"/>
  <c r="Y15" i="1" s="1"/>
  <c r="R127" i="1"/>
  <c r="R15" i="1"/>
  <c r="S127" i="1" l="1"/>
  <c r="K127" i="1" s="1"/>
  <c r="S15" i="1"/>
</calcChain>
</file>

<file path=xl/sharedStrings.xml><?xml version="1.0" encoding="utf-8"?>
<sst xmlns="http://schemas.openxmlformats.org/spreadsheetml/2006/main" count="502" uniqueCount="295">
  <si>
    <t>№ п/п</t>
  </si>
  <si>
    <t>Описание и место расположения объекта</t>
  </si>
  <si>
    <t>Основные технические характеристики</t>
  </si>
  <si>
    <t>Год начала реализации мероприятия</t>
  </si>
  <si>
    <t>Примечание</t>
  </si>
  <si>
    <t>Всего</t>
  </si>
  <si>
    <t>Остаток финансирования</t>
  </si>
  <si>
    <t>в т.ч. за счёт платы за подключение</t>
  </si>
  <si>
    <t>до реализации мероприятия</t>
  </si>
  <si>
    <t>после реализации мероприятия</t>
  </si>
  <si>
    <t>1.1. Строительство новых тепловых сетей в целях подключения потребителей</t>
  </si>
  <si>
    <t>1.1.1.</t>
  </si>
  <si>
    <t>МВт</t>
  </si>
  <si>
    <t>Дополнительно</t>
  </si>
  <si>
    <t>1.2. Строительство иных объектов системы централизованного теплоснабжения, за исключением тепловых сетей, в целях подключения потребителей</t>
  </si>
  <si>
    <t>1.2.1.</t>
  </si>
  <si>
    <t>1.3. Увеличение пропускной способности существующих тепловых сетей в целях подключения потребителей</t>
  </si>
  <si>
    <t>1.3.1.</t>
  </si>
  <si>
    <t>1.4. Увеличение мощности и производительности существующих объектов системы централизованного теплоснабжения, за исключением тепловых сетей, в целях подключения потребителей</t>
  </si>
  <si>
    <t>1.4.1.</t>
  </si>
  <si>
    <t>Всего по группе 1</t>
  </si>
  <si>
    <t>Группа 2. Строительство новых объектов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</si>
  <si>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>Переключение тепловых нагрузок котельной «Магма» на крупную узловую котельную «Полиграф», реконструкция котельной "Полиграф"</t>
  </si>
  <si>
    <t>%</t>
  </si>
  <si>
    <t>Из схемы</t>
  </si>
  <si>
    <t>м</t>
  </si>
  <si>
    <t xml:space="preserve">Из схемы </t>
  </si>
  <si>
    <t>Переключение тепловых нагрузок котельной «Военная база» на крупную узловую котельную «Полиграф»</t>
  </si>
  <si>
    <t>Всего по группе 2</t>
  </si>
  <si>
    <t>Шекснинский район</t>
  </si>
  <si>
    <t>3.1.1.</t>
  </si>
  <si>
    <t>Реконструкция магистральных тепловых сетей котельной "Волжский" от ТК-47 до ТК-97</t>
  </si>
  <si>
    <t>Снижения уровня износа оборудования, повышение его надежности</t>
  </si>
  <si>
    <t>износ</t>
  </si>
  <si>
    <t>Реконструкция магистральных тепловых сетей котельной "Переборы" от ТК-1 до ТК-10</t>
  </si>
  <si>
    <t>Южный район</t>
  </si>
  <si>
    <t>3.1.3.</t>
  </si>
  <si>
    <t>Реконструкция магистральных тепловых сетей котельной по ул.С.Перовской от ТК-4003 до ТК-4015</t>
  </si>
  <si>
    <t>тепловые сети в р-не ул. Гагарина</t>
  </si>
  <si>
    <t>Копаевский район</t>
  </si>
  <si>
    <t>Реконструкция магистральных тепловых сетей котельной "Сельхозтехника" от ТК-1001 до ТК-1011</t>
  </si>
  <si>
    <t>Центр</t>
  </si>
  <si>
    <t>Всего по группе 3.1</t>
  </si>
  <si>
    <t>Энергосбережение</t>
  </si>
  <si>
    <t>Модернизация систем управления, автоматизации и безопасности котлов котельной "Волжский"</t>
  </si>
  <si>
    <t>33943,062 1325 172</t>
  </si>
  <si>
    <t>33264,2008  1 181 457</t>
  </si>
  <si>
    <t xml:space="preserve">Модернизация систем управления, автоматизации и безопасности котлов </t>
  </si>
  <si>
    <t>кВт*ч</t>
  </si>
  <si>
    <t>Автоматизация режимов теплоснабжения с установкой частотных преобразователей на насосной станции</t>
  </si>
  <si>
    <t>Реконструкция узлов учета тепловой энергии на котельной "Призма"</t>
  </si>
  <si>
    <t>Реконструкция узлов учета тепловой энергии на котельной "Сельхозтехника"</t>
  </si>
  <si>
    <t>Реконструкция узлов учета тепловой энергии на котельной "Стоялая"</t>
  </si>
  <si>
    <t>г.Рыбинск, ул.Стоялая, д.19</t>
  </si>
  <si>
    <t>Реконструкция узлов учета тепловой энергии на котельной "Бабушкина"</t>
  </si>
  <si>
    <t>Реконструкция узлов учета тепловой энергии на котельной "Веретье-3"</t>
  </si>
  <si>
    <t>Реконструкция узлов учета тепловой энергии на котельной "Магма"</t>
  </si>
  <si>
    <t>Реконструкция узлов учета тепловой энергии на котельной "Переборы"</t>
  </si>
  <si>
    <t>Реконструкция узлов учета тепловой энергии на котельной "Полиграф"</t>
  </si>
  <si>
    <t>Реконструкция узлов учета тепловой энергии на котельной "Поток"</t>
  </si>
  <si>
    <t>Реконструкция узлов учета тепловой энергии на котельной "С.Перовской"</t>
  </si>
  <si>
    <t>Реконструкция узлов учета тепловой энергии на котельной "Тема"</t>
  </si>
  <si>
    <t>Реконструкция узлов учета тепловой энергии на котельной "Волжский"</t>
  </si>
  <si>
    <t>Реконструкция узлов учета тепловой энергии на котельных</t>
  </si>
  <si>
    <t>Реконструкция бака-аккумулятора котельной "Переборы"</t>
  </si>
  <si>
    <t>Реконструкция баков-аккумуляторов котельных</t>
  </si>
  <si>
    <t>Всего по группе 3.2</t>
  </si>
  <si>
    <t>Всего по группе 3</t>
  </si>
  <si>
    <t>Группа 4. Мероприятия, направленные на снижение негативного воздействия на окружающую среду, достижение плановых значений показателей надежности и энергетической эффективности объектов теплоснабжения, повышение эффективности работы систем централизованного теплоснабжения</t>
  </si>
  <si>
    <t>Реконструкция РТХ котельной "Веретье"</t>
  </si>
  <si>
    <t>показатель надежности топливоснабжения</t>
  </si>
  <si>
    <t>-</t>
  </si>
  <si>
    <t>Реконструкция РТХ котельной "Слип"</t>
  </si>
  <si>
    <t>Реконструкция РТХ котельной "Переборы"</t>
  </si>
  <si>
    <t>Реконструкция РТХ котельной "Призма"</t>
  </si>
  <si>
    <t>Реконструкция РТХ котельной "Тема"</t>
  </si>
  <si>
    <t>Реконструкция РТХ котельной "Поток"</t>
  </si>
  <si>
    <t>Реконструкция РТХ котельной "Полиграф"</t>
  </si>
  <si>
    <t>Реконструкция ХВО котельной "Переборы"</t>
  </si>
  <si>
    <t>Всего по группе 4</t>
  </si>
  <si>
    <t>5.1. Вывод из эксплуатации, консервация и демонтаж тепловых сетей</t>
  </si>
  <si>
    <t>5.1.1.</t>
  </si>
  <si>
    <t>5.2.1.</t>
  </si>
  <si>
    <t>Всего по группе 5</t>
  </si>
  <si>
    <t>Группа 6. Модернизация ИТ-инфраструктуры в  связи со значительным моральным и физическим износом, увеличение надежности и производительности</t>
  </si>
  <si>
    <t>6.1.</t>
  </si>
  <si>
    <t xml:space="preserve">Организация отказоустойчивой серверной инфраструктуры </t>
  </si>
  <si>
    <t>6.2.</t>
  </si>
  <si>
    <t>Организация телефонной связи и видео конференц связи</t>
  </si>
  <si>
    <t>показатель надежности обмена информацией</t>
  </si>
  <si>
    <t>6.3.</t>
  </si>
  <si>
    <t>Построение распределенной защищенной мультисервисной сети передачи данных, для связи между площадками</t>
  </si>
  <si>
    <t>6.4.</t>
  </si>
  <si>
    <t>Модернизация парка персональных компьютеров и печатной техники</t>
  </si>
  <si>
    <t>6.5.</t>
  </si>
  <si>
    <t>Модернизация структурированной кабельной сети на площадках котельных</t>
  </si>
  <si>
    <t>Всего по группе 6</t>
  </si>
  <si>
    <t>Группа 7.  Приобретение автомобильного траспорта и спецтехники для выполнения оперативных задач</t>
  </si>
  <si>
    <t>7.1.Приобретение автомобильного траспорта и спецтехники для выполнения оперативных задач</t>
  </si>
  <si>
    <t>7.1.1.</t>
  </si>
  <si>
    <t xml:space="preserve">Автомастерская  АРТК-М на шасси ГАЗ-33081 "Садко" </t>
  </si>
  <si>
    <t>шт.</t>
  </si>
  <si>
    <t>2021,  2022,      2023</t>
  </si>
  <si>
    <t>7.1.2.</t>
  </si>
  <si>
    <t>МАЗ 6501 Самосвал 20 т.</t>
  </si>
  <si>
    <t>7.1.3.</t>
  </si>
  <si>
    <t>КС 35714 Автокран  16 т.</t>
  </si>
  <si>
    <t>7.1.4.</t>
  </si>
  <si>
    <t>ГАЗ  3309 Грузовой  бортовой  5 метров</t>
  </si>
  <si>
    <t>Всего по группе 7</t>
  </si>
  <si>
    <t>ИТОГО по мероприятиям инвестиционной программы</t>
  </si>
  <si>
    <t xml:space="preserve">             в том числе: по мероприятиям энергосбережения</t>
  </si>
  <si>
    <t xml:space="preserve">             в том числе: по мероприятиям подключения потребителей</t>
  </si>
  <si>
    <t>ИНВЕСТИЦИИ С НДС в текущей версии КС</t>
  </si>
  <si>
    <t>3.1.7.</t>
  </si>
  <si>
    <t>Реконструкция магистральных тепловых сетей центра города от ул.Димитрова до ул.Ломоносова</t>
  </si>
  <si>
    <t>тепловые сети в р-не ул. Радищева</t>
  </si>
  <si>
    <t>Концедент</t>
  </si>
  <si>
    <r>
      <t>Городской округ город Рыбинск</t>
    </r>
    <r>
      <rPr>
        <sz val="12"/>
        <rFont val="Times New Roman"/>
        <family val="1"/>
        <charset val="204"/>
      </rPr>
      <t xml:space="preserve"> </t>
    </r>
  </si>
  <si>
    <t>Концессионер</t>
  </si>
  <si>
    <t>__________________Д. В. Добряков</t>
  </si>
  <si>
    <t>Генеральный директор</t>
  </si>
  <si>
    <t>___________________А. И. Лукашов</t>
  </si>
  <si>
    <t>Субъект</t>
  </si>
  <si>
    <t>Ярославская область</t>
  </si>
  <si>
    <t xml:space="preserve">Губернатор области </t>
  </si>
  <si>
    <t>__________________ Д. Ю. Миронов</t>
  </si>
  <si>
    <t>Глава городского округа город Рыбинск</t>
  </si>
  <si>
    <t>3.1.2.</t>
  </si>
  <si>
    <t>3.1.4.</t>
  </si>
  <si>
    <t>3.2.1.</t>
  </si>
  <si>
    <t>3.2.2.</t>
  </si>
  <si>
    <t>3.2.3.</t>
  </si>
  <si>
    <t>3.2.4.</t>
  </si>
  <si>
    <t>3.2.5.</t>
  </si>
  <si>
    <t>Приложение 3
к Концессионному соглашению
от «____» ___________ 201_ года №  ____</t>
  </si>
  <si>
    <r>
      <rPr>
        <b/>
        <sz val="14"/>
        <rFont val="Times New Roman"/>
        <family val="1"/>
        <charset val="204"/>
      </rPr>
      <t>I. Основание для разработки технического задания</t>
    </r>
    <r>
      <rPr>
        <sz val="14"/>
        <rFont val="Times New Roman"/>
        <family val="1"/>
        <charset val="204"/>
      </rPr>
      <t xml:space="preserve">
Настоящее задание разработано на основании:
Федерального закона от 27 июля 2010 года № 190-ФЗ «О теплоснабжении»;
Федерального закона от 21 июля 2005 года № 115-ФЗ «О концессионных соглашениях».
</t>
    </r>
    <r>
      <rPr>
        <b/>
        <sz val="14"/>
        <rFont val="Times New Roman"/>
        <family val="1"/>
        <charset val="204"/>
      </rPr>
      <t xml:space="preserve">II. Цели и задачи технического задания
</t>
    </r>
    <r>
      <rPr>
        <sz val="14"/>
        <rFont val="Times New Roman"/>
        <family val="1"/>
        <charset val="204"/>
      </rPr>
      <t xml:space="preserve">Основной целью задания является решение приоритетных проблем по обеспечению повышения энергетической эффективности, надежности, качества и безопасности теплоснабжения потребителей на территории городского округа города Рыбинска.
Для достижения стратегических целей необходимо комплексное решение следующих приоритетных задач:
 - снижение темпов роста тарифов на тепловую энергию для конечного потребителя;
 - снижение уровня износа основных фондов оборудования;
 - повышение уровня безопасности эксплуатации теплогенерирующего оборудования и тепловых сетей;
 - создание возможности подключения строящихся объектов к системе теплоснабжения;
 - повышение надежности тепловых сетей и источников выработки тепловой энергии;
 - повышение эффективности использования ресурсов при производстве, транспортировке и реализации тепловой энергии.
</t>
    </r>
    <r>
      <rPr>
        <b/>
        <sz val="14"/>
        <rFont val="Times New Roman"/>
        <family val="1"/>
        <charset val="204"/>
      </rPr>
      <t xml:space="preserve">
III. Плановые значения показателей надежности, качества и энергетической эффективности объектов системы теплоснабжения
</t>
    </r>
    <r>
      <rPr>
        <sz val="14"/>
        <rFont val="Times New Roman"/>
        <family val="1"/>
        <charset val="204"/>
      </rPr>
      <t xml:space="preserve">Плановые значения показателей надежности и энергетической эффективности систем теплоснабжения определяет и учитывает Концессионер согласно постановлению Правительства Российской Федерации от 16 мая 2014 г. № 452 «Об утверждении Правил определения плановых и расчета фактических значений показателей надежности и энергетической эффективности объектов теплоснабжения, а также определения достижения организацией, осуществляющей регулируемые виды деятельности в сфере теплоснабжения, указанных плановых значений и о внесении изменений в постановление Правительства Российской Федерации от 15 мая 2010 г. № 340».
</t>
    </r>
    <r>
      <rPr>
        <b/>
        <sz val="14"/>
        <rFont val="Times New Roman"/>
        <family val="1"/>
        <charset val="204"/>
      </rPr>
      <t xml:space="preserve">
IV. Финансовые источники
</t>
    </r>
    <r>
      <rPr>
        <sz val="14"/>
        <rFont val="Times New Roman"/>
        <family val="1"/>
        <charset val="204"/>
      </rPr>
      <t xml:space="preserve">Средства Концессионера, включенные в тариф на отпуск тепловой энергии.
 </t>
    </r>
    <r>
      <rPr>
        <b/>
        <sz val="14"/>
        <rFont val="Times New Roman"/>
        <family val="1"/>
        <charset val="204"/>
      </rPr>
      <t>V. Перечень мероприятий по реконструкции системы теплоснабжения</t>
    </r>
  </si>
  <si>
    <t>Наименование  мероприятия</t>
  </si>
  <si>
    <t>наименование показателя (мощность, протяженность, диаметр и т.п.)</t>
  </si>
  <si>
    <t>единицы измерения</t>
  </si>
  <si>
    <t>значение показателя</t>
  </si>
  <si>
    <t>Обоснование необходимости 
(цель реализации)</t>
  </si>
  <si>
    <t>профинансировано, в т.ч. по годам</t>
  </si>
  <si>
    <t>Год окончан-ия реализа-ции мероприятия</t>
  </si>
  <si>
    <t>мощность</t>
  </si>
  <si>
    <t>Установка новой блочно-модульной автоматизированной котельной без присутствия персонала в рамках отказа от аренды стороннего источника теплоснабжения с целью минимизации затрат на содержание персонала и эксплуатацию комлекса котельной позволит окупить данное мероприятие в течение краткосрочного периода - 3 года.</t>
  </si>
  <si>
    <t>2.1.</t>
  </si>
  <si>
    <t>2.2.</t>
  </si>
  <si>
    <t>2.3.</t>
  </si>
  <si>
    <t>2.4.</t>
  </si>
  <si>
    <t>2.5.</t>
  </si>
  <si>
    <t>2.6.</t>
  </si>
  <si>
    <t>г. Рыбинск, в районе земельного участка по ул. Нобелевской, д.3</t>
  </si>
  <si>
    <t>Строительство новой блочно-модульной котельной в районе земельного участка по 
ул. Нобелевской, д.3</t>
  </si>
  <si>
    <t>загрузка котельной</t>
  </si>
  <si>
    <t>Прокладка теплотрассы по ул. Восточной от тепловых сетей котельной "Полиграф" до тепловых сетей котельной "Магма" по адресу: Ярославская область, город Рыбинск, ул. Восточная, д. 8</t>
  </si>
  <si>
    <t xml:space="preserve">протяженность </t>
  </si>
  <si>
    <t>протяженность 
по каналу</t>
  </si>
  <si>
    <t>Переключение тепловых нагрузок котельной на
 ул. С.Перовской и бойлерных ГВС на
 ул. Щепкина и 
ул. Гагарина  на крупную узловую котельную «Тема»</t>
  </si>
  <si>
    <t>тепловая сеть, проходящая по улицам Полиграфской, Февральской, Пархинской, Щепкина</t>
  </si>
  <si>
    <t>тепловая сеть, проходящая по
ул. Восточной</t>
  </si>
  <si>
    <t>тепловая сеть, проходящая по 
ул. Юбилейной</t>
  </si>
  <si>
    <t>тепловая сеть, проходящая по 
ул. Лизы Чайкиной</t>
  </si>
  <si>
    <t>тепловая сеть, проходящая по 
ул. М. Горького, перевод котельной "Военная база" в режим ЦТП</t>
  </si>
  <si>
    <t>увеличение загрузки котельной "Призма" и снижение расходов, связанных с эксплуатацией котельной "Мариевка"</t>
  </si>
  <si>
    <t>увеличение загрузки котельной "Полиграф" и снижение расходов, связанных с эксплуатацией котельной "Военная база"</t>
  </si>
  <si>
    <t>увеличение загрузки котельной "ОДК-Сатурн" и снижение расходов, связанных с эксплуатацией котельной "Поток" в летний период</t>
  </si>
  <si>
    <t>увеличение загрузки котельной "Тема" 
и снижение расходов, связанных 
с эксплуатацией котельной на 
ул. С.Перовской и бойлерных
ООО "Раскат-РОС"</t>
  </si>
  <si>
    <t>Прокладка теплотрассы по ул. Юбилейной до котельной дома-интерната для престарелых по адресу: Ярославская область, город Рыбинск, пр. Генерала Батова,58</t>
  </si>
  <si>
    <t>Прокладка теплотрассы по ул. Лизы Чайкиной между домом 14 по ул. Лизы Чайкиной до д. 2 
по ул. Молодогвардейцев</t>
  </si>
  <si>
    <t>Группа 3. Реконструкция или модернизация существующих объектов в целях снижения уровня износа существующих объектов и (или) поставки энергии от разных источников</t>
  </si>
  <si>
    <t>3.1. Реконструкция или модернизация существующих тепловых сетей</t>
  </si>
  <si>
    <t>тепловые сети в р-не улиц  Черняховского - Желябова</t>
  </si>
  <si>
    <t>снижение уровня износа оборудования, повышение его надежности</t>
  </si>
  <si>
    <t>тепловые сети в р-не ул. Инженерной</t>
  </si>
  <si>
    <t>3.2. Реконструкция или модернизация существующих объектов системы централизованного теплоснабжения, за исключением тепловых сетей</t>
  </si>
  <si>
    <t>Группа 1. Строительство, реконструкция или модернизация объектов в целях подключения потребителей</t>
  </si>
  <si>
    <t>тепловые сети в р-не улиц Механизации - Коминтерна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</si>
  <si>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</si>
  <si>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</si>
  <si>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</si>
  <si>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</si>
  <si>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</si>
  <si>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</si>
  <si>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</si>
  <si>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</si>
  <si>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3.2.14.</t>
  </si>
  <si>
    <t>3.2.15.</t>
  </si>
  <si>
    <t>3.2.16.</t>
  </si>
  <si>
    <t>3.2.17.</t>
  </si>
  <si>
    <t>3.2.18.</t>
  </si>
  <si>
    <t>3.2.19.</t>
  </si>
  <si>
    <t>3.2.20.</t>
  </si>
  <si>
    <t>3.2.21.</t>
  </si>
  <si>
    <t>3.2.22.</t>
  </si>
  <si>
    <t>3.2.23.</t>
  </si>
  <si>
    <t>3.2.24.</t>
  </si>
  <si>
    <t>3.2.25.</t>
  </si>
  <si>
    <t>3.2.26.</t>
  </si>
  <si>
    <t>3.2.27.</t>
  </si>
  <si>
    <t>3.2.28.</t>
  </si>
  <si>
    <t>3.2.29.</t>
  </si>
  <si>
    <t>3.2.30.</t>
  </si>
  <si>
    <t>3.2.31.</t>
  </si>
  <si>
    <t>3.2.32.</t>
  </si>
  <si>
    <t>3.2.33.</t>
  </si>
  <si>
    <t>3.2.34.</t>
  </si>
  <si>
    <t>3.2.35.</t>
  </si>
  <si>
    <t>4.1.</t>
  </si>
  <si>
    <t>4.2.</t>
  </si>
  <si>
    <t>4.4.</t>
  </si>
  <si>
    <t>4.5.</t>
  </si>
  <si>
    <t>4.6.</t>
  </si>
  <si>
    <t>4.7.</t>
  </si>
  <si>
    <t>4.8.</t>
  </si>
  <si>
    <t>4.9.</t>
  </si>
  <si>
    <t>г. Рыбинск, 
ул. Толбухина, д. 24</t>
  </si>
  <si>
    <t>повышение уровня автоматизации оборудования с целью снижения потребления электроэнергии и природного газа на выработку 1 Гкал тепловой энергии</t>
  </si>
  <si>
    <t>автоматизация процессов управления котельной, снижение издержек за счет исключения персонала из процесса работы котельной</t>
  </si>
  <si>
    <t>г. Рыбинск, 
ул. Свердлова, д. 27</t>
  </si>
  <si>
    <t>тыс. руб.</t>
  </si>
  <si>
    <t>тыс. м3 кВт*ч</t>
  </si>
  <si>
    <t xml:space="preserve">Автоматизация режимов теплоснабжения на ЦТП  </t>
  </si>
  <si>
    <t xml:space="preserve">Автоматизация режимов теплоснабжения на насосной станции </t>
  </si>
  <si>
    <t xml:space="preserve">Автоматизация режимов теплоснабжения на насосной станции  </t>
  </si>
  <si>
    <t>г. Рыбинск, ул. Сакко и Ванцетти, д. 34</t>
  </si>
  <si>
    <t>г. Рыбинск, 
ул. Целинная</t>
  </si>
  <si>
    <t>г. Рыбинск, 
ул. Плеханова, д. 30</t>
  </si>
  <si>
    <t>г. Рыбинск, 
ул. Рапова, д. 15</t>
  </si>
  <si>
    <t>г. Рыбинск, 
ул. Плеханова, д. 33</t>
  </si>
  <si>
    <t>г. Рыбинск, 
ул. Плеханова, д. 34</t>
  </si>
  <si>
    <t>г. Рыбинск, 
ул. Плеханова, д. 38</t>
  </si>
  <si>
    <t>г. Рыбинск, 
ул.Кирова, д. 30</t>
  </si>
  <si>
    <t>г. Рыбинск, 
ул. Чкалова, д. 69</t>
  </si>
  <si>
    <t>г. Рыбинск, 
ул. Кольцова, д. 3</t>
  </si>
  <si>
    <t>г. Рыбинск, 
ул. Карякинская, д. 106</t>
  </si>
  <si>
    <t>г. Рыбинск,
 ул. Карякинская, д. 88</t>
  </si>
  <si>
    <t>г. Рыбинск, 
ул. Фурманова, д. 17</t>
  </si>
  <si>
    <t>г. Рыбинск, 
ул. Фурманова, д. 9</t>
  </si>
  <si>
    <t>г. Рыбинск, 
ул. Фурманова, д.  7</t>
  </si>
  <si>
    <t>г. Рыбинск, 
ул. Плеханова, д. 41</t>
  </si>
  <si>
    <t>г. Рыбинск, 
ул. Фурманова, д. 11</t>
  </si>
  <si>
    <t>г. Рыбинск, 
ул.  Моторостроителей, д. 9</t>
  </si>
  <si>
    <t xml:space="preserve">Автоматизция режимов работы насосной станции  </t>
  </si>
  <si>
    <t>г. Рыбинск, 
ул. Моторостроителей, д. 21</t>
  </si>
  <si>
    <t>г. Рыбинск, 
ул. Луначарского, д. 21</t>
  </si>
  <si>
    <t>снижение потребления природного газа и электроэнергии при выработке тепловой энергии</t>
  </si>
  <si>
    <t>снижение затрат на содержание персонала</t>
  </si>
  <si>
    <t>снижение потребления электроэнергии при транспортировке тепловой энергии</t>
  </si>
  <si>
    <t>повышение уровня автоматизации оборудования с целью снижения расходов потребления электроэнергии</t>
  </si>
  <si>
    <t>обеспечение учёта отпущенных тепловой энергии и теплоносителя</t>
  </si>
  <si>
    <t>снижения уровня износа оборудования</t>
  </si>
  <si>
    <t>г. Рыбинск, ул. 1-я Выборгская, д. 72</t>
  </si>
  <si>
    <t>г. Рыбинск,
ул. Механизации, д. 24</t>
  </si>
  <si>
    <t>г. Рыбинск,
 ул. Бабушкина, д. 13а</t>
  </si>
  <si>
    <t>г. Рыбинск, Юго-западная промзона, д.3</t>
  </si>
  <si>
    <t>г. Рыбинск, Ярославский тракт,
 д. 70</t>
  </si>
  <si>
    <t>г. Рыбинск, пр. 50 лет Октября, д. 60</t>
  </si>
  <si>
    <t>г. Рыбинск, 
ул. Восточная, д. 8</t>
  </si>
  <si>
    <t>г. Рыбинск, 
ул. Академика Губкина, д. 50</t>
  </si>
  <si>
    <t>г. Рыбинск, ул.Софьи Перовской, д. 2</t>
  </si>
  <si>
    <t>г. Рыбинск, 
ул. Полиграфская, д. 1</t>
  </si>
  <si>
    <t>г. Рыбинск,
ул. Толбухина, д. 22</t>
  </si>
  <si>
    <t>Группа 5. Вывод из эксплуатации, консервация и демонтаж объектов системы централизованного теплоснабжения</t>
  </si>
  <si>
    <t xml:space="preserve">г. Рыбинск, Юго-западная промзона, 
д. 3, территория, прилегающая к котельной </t>
  </si>
  <si>
    <t>г. Рыбинск, 
ул. Пятилетки, д. 70, территория, прилегающая к котельной</t>
  </si>
  <si>
    <t>г. Рыбинск, пр. 50 лет Октября, д. 60, территория, прилегающая к котельной</t>
  </si>
  <si>
    <t>г. Рыбинск, ул. 1-ая Выборгская, д. 72 территория, прилегающая к котельной</t>
  </si>
  <si>
    <t>г. Рыбинск, ул.Академика Губкина, д. 50 территория, прилегающая к котельной</t>
  </si>
  <si>
    <t>г. Рыбинск, 
ул. Полиграфская, д. 1 территория, прилегающая к котельной</t>
  </si>
  <si>
    <t>г. Рыбинск, 
ул. Восточная, д. 8 территория, прилегающая к котельной</t>
  </si>
  <si>
    <t>5.2. Вывод из эксплуатации, консервация и демонтаж иных объектов системы централизованного теплоснабжения, за исключением тепловых сетей</t>
  </si>
  <si>
    <t>г. Рыбинск, 
ул. Бабушкина (гараж)</t>
  </si>
  <si>
    <t>ООО «Рыбинская генерация»</t>
  </si>
  <si>
    <t>Расходы на реализацию мероприятий в прогнозных ценах, тыс. руб. (с НДС)</t>
  </si>
  <si>
    <t>Увеличение загрузки котельной "Полиграф" и снижение расходов, связанных с эксплуатацией котельной "Магма".
Проект был произведен по заказу ДЖКХ ГО г.Рыбинска. В настоящий момент передан в МУП "Теплоэнерго". В 2017 году было выделено финансирование (субсидия) городскому округу г. Рыбинску и Ярославской области на первый этап строительства в сумме 15 892 тыс. руб. Объекты первого этапа построены и введены в эксплуатацию. Снижение уровня износа оборудования котельной "Полиграф", повышение его надежности и уровня автоматизации с целью переключения нагрузок с котельных "Магма"</t>
  </si>
  <si>
    <t>увеличение загрузки котельной "Полиграф" и снижение расходов, связанных с эксплуатацией котельной "Магма"</t>
  </si>
  <si>
    <t>г. Рыбинск, Юго-западная промзона, 
д. 3, территория, АБК</t>
  </si>
  <si>
    <t>г. Рыбинск, Юго-западная промзона, д.3, территория, АБК</t>
  </si>
  <si>
    <t>г.Рыбинск, Юго-западная промзона,
 д. 3, территория, АБК</t>
  </si>
  <si>
    <t>г. Рыбинск, Юго-западная промзона,
 д. 3, территория, АБК</t>
  </si>
  <si>
    <t>Перевод на автоматический режим работы котельной "Школа-Интернат"</t>
  </si>
  <si>
    <t>Перевод на автоматический режим работы котельной "Психиатрическая больница"</t>
  </si>
  <si>
    <t>повышение показателя надежности топливоснабжения</t>
  </si>
  <si>
    <t>7.2. Вывод из эксплуатации автомобильного траспорта и спецтехники для выполнения оперативных задач</t>
  </si>
  <si>
    <t>увеличение надежности обмена информацией между подразделениями для оперативного контроля и принятия решений</t>
  </si>
  <si>
    <t>аварийное состояние имеющейся техники. Повышение уровня надежности при выполнении ремонтных работ на тепловых трассах</t>
  </si>
  <si>
    <t>аварийное состояние имеющейся техники. Повышение уровня надежности при выполнении ремонтных работ на тепловых трассах. Отказ от услуг сторонних организаций по найму техники</t>
  </si>
  <si>
    <t>тепловая сеть, проходящая от 
ул. Восточной, д. 8,
до ул. Луговой, д. 6</t>
  </si>
  <si>
    <t>Предприятие</t>
  </si>
  <si>
    <t>МУП «Теплоэнерго»</t>
  </si>
  <si>
    <t>Исполняющий обязанности генерального директора</t>
  </si>
  <si>
    <t>__________________ С. Н. Сонин</t>
  </si>
  <si>
    <t>ЗАДАНИЕ И ПЕРЕЧЕНЬ</t>
  </si>
  <si>
    <t>основных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</si>
</sst>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\ _₽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sz val="10"/>
      <color indexed="21"/>
      <name val="Arial Cyr"/>
      <charset val="204"/>
    </font>
    <font>
      <b/>
      <sz val="10"/>
      <name val="Arial Cyr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Calibri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4" fontId="0" fillId="0" borderId="0" xfId="0" applyNumberFormat="1" applyFill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vertical="center"/>
    </xf>
    <xf numFmtId="14" fontId="0" fillId="0" borderId="2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vertical="center"/>
    </xf>
    <xf numFmtId="4" fontId="0" fillId="3" borderId="2" xfId="0" applyNumberFormat="1" applyFill="1" applyBorder="1" applyAlignment="1">
      <alignment horizontal="center" vertical="center" wrapText="1"/>
    </xf>
    <xf numFmtId="4" fontId="0" fillId="3" borderId="2" xfId="0" applyNumberFormat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0" xfId="0" applyNumberFormat="1" applyFill="1" applyAlignme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0" fillId="3" borderId="0" xfId="0" applyNumberFormat="1" applyFill="1" applyAlignment="1">
      <alignment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" fontId="0" fillId="3" borderId="2" xfId="0" applyNumberForma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4" fontId="6" fillId="3" borderId="2" xfId="1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0" fontId="0" fillId="3" borderId="2" xfId="0" applyFont="1" applyFill="1" applyBorder="1" applyAlignment="1">
      <alignment horizontal="left" vertical="center" wrapText="1"/>
    </xf>
    <xf numFmtId="4" fontId="0" fillId="0" borderId="2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4" fontId="0" fillId="3" borderId="3" xfId="0" applyNumberForma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4" fontId="0" fillId="2" borderId="0" xfId="0" applyNumberFormat="1" applyFill="1" applyBorder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4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/>
    <xf numFmtId="4" fontId="4" fillId="0" borderId="0" xfId="0" applyNumberFormat="1" applyFont="1" applyFill="1"/>
    <xf numFmtId="16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/>
    <xf numFmtId="0" fontId="12" fillId="5" borderId="0" xfId="0" applyFont="1" applyFill="1" applyBorder="1" applyAlignment="1">
      <alignment horizontal="right"/>
    </xf>
    <xf numFmtId="0" fontId="11" fillId="5" borderId="0" xfId="0" applyFont="1" applyFill="1" applyBorder="1" applyAlignment="1"/>
    <xf numFmtId="4" fontId="0" fillId="0" borderId="2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3" fontId="7" fillId="0" borderId="2" xfId="0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4" fontId="0" fillId="4" borderId="2" xfId="0" applyNumberForma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2" fillId="0" borderId="0" xfId="0" applyFont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/>
    </xf>
    <xf numFmtId="49" fontId="0" fillId="3" borderId="2" xfId="0" applyNumberFormat="1" applyFill="1" applyBorder="1" applyAlignment="1">
      <alignment horizontal="left" vertical="center" wrapText="1"/>
    </xf>
    <xf numFmtId="49" fontId="0" fillId="3" borderId="2" xfId="0" applyNumberForma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hnina\AppData\Local\Microsoft\Windows\Temporary%20Internet%20Files\Content.Outlook\R2XTAJM6\&#1060;&#1080;&#1085;%20&#1084;&#1086;&#1076;&#1077;&#1083;&#1100;%20&#1080;%20&#1060;&#1086;&#1088;&#1084;&#1099;\&#1060;&#1086;&#1088;&#1084;&#1099;%201,048%20&#1084;&#1083;&#1088;&#1076;.%202019-2031_15.05.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№2-ИП"/>
      <sheetName val="Форма №3-ИП"/>
      <sheetName val="Форма №4-ИП"/>
      <sheetName val="вспом. расчёты"/>
      <sheetName val="вед. под перекладку-итог"/>
      <sheetName val="Потери в сетях"/>
      <sheetName val="Диаграммы"/>
      <sheetName val="повреждения"/>
      <sheetName val="Расчет экономического эффекта"/>
      <sheetName val="ТЭР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47">
          <cell r="V147">
            <v>0</v>
          </cell>
          <cell r="W147">
            <v>17691.544979999999</v>
          </cell>
          <cell r="X147">
            <v>9291.9240599999994</v>
          </cell>
          <cell r="Y147">
            <v>4315.8553999999995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</row>
        <row r="148">
          <cell r="H148">
            <v>31299.324439999997</v>
          </cell>
        </row>
        <row r="165">
          <cell r="V165">
            <v>0</v>
          </cell>
          <cell r="W165">
            <v>21808.266589999999</v>
          </cell>
          <cell r="X165">
            <v>18117.927480000002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</row>
        <row r="166">
          <cell r="H166">
            <v>39926.19406999999</v>
          </cell>
        </row>
        <row r="191">
          <cell r="V191">
            <v>0</v>
          </cell>
          <cell r="W191">
            <v>11568.64896</v>
          </cell>
          <cell r="X191">
            <v>8827.1860400000005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</row>
        <row r="192">
          <cell r="H192">
            <v>20395.835000000003</v>
          </cell>
        </row>
        <row r="293"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20791.454099999995</v>
          </cell>
          <cell r="AF293">
            <v>0</v>
          </cell>
          <cell r="AG293">
            <v>0</v>
          </cell>
          <cell r="AH293">
            <v>0</v>
          </cell>
        </row>
        <row r="294">
          <cell r="H294">
            <v>20791.454100000003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4"/>
  <sheetViews>
    <sheetView tabSelected="1" view="pageBreakPreview" topLeftCell="A14" zoomScale="70" zoomScaleNormal="70" zoomScaleSheetLayoutView="70" workbookViewId="0">
      <pane ySplit="1005" topLeftCell="A110" activePane="bottomLeft"/>
      <selection activeCell="A14" sqref="A14"/>
      <selection pane="bottomLeft" activeCell="I116" sqref="I116"/>
    </sheetView>
  </sheetViews>
  <sheetFormatPr defaultRowHeight="12.75" x14ac:dyDescent="0.2"/>
  <cols>
    <col min="1" max="1" width="8.42578125" style="1" customWidth="1"/>
    <col min="2" max="2" width="25.85546875" style="2" customWidth="1"/>
    <col min="3" max="3" width="39.140625" style="2" customWidth="1"/>
    <col min="4" max="4" width="22.7109375" style="2" customWidth="1"/>
    <col min="5" max="5" width="19.85546875" style="2" customWidth="1"/>
    <col min="6" max="6" width="14" style="1" customWidth="1"/>
    <col min="7" max="7" width="14.28515625" style="1" customWidth="1"/>
    <col min="8" max="8" width="15.7109375" style="1" customWidth="1"/>
    <col min="9" max="9" width="13.42578125" style="1" customWidth="1"/>
    <col min="10" max="10" width="14.140625" style="1" customWidth="1"/>
    <col min="11" max="11" width="16.140625" style="3" customWidth="1"/>
    <col min="12" max="12" width="14.85546875" style="1" customWidth="1"/>
    <col min="13" max="24" width="12" style="1" customWidth="1"/>
    <col min="25" max="25" width="15.28515625" style="1" customWidth="1"/>
    <col min="26" max="26" width="14.7109375" style="1" customWidth="1"/>
    <col min="27" max="27" width="18.28515625" style="2" hidden="1" customWidth="1"/>
    <col min="28" max="28" width="12.7109375" style="2" hidden="1" customWidth="1"/>
    <col min="29" max="29" width="14.7109375" style="2" hidden="1" customWidth="1"/>
    <col min="30" max="32" width="10.7109375" style="2" hidden="1" customWidth="1"/>
    <col min="33" max="16384" width="9.140625" style="2"/>
  </cols>
  <sheetData>
    <row r="1" spans="1:28" ht="20.25" customHeight="1" x14ac:dyDescent="0.25">
      <c r="T1" s="126" t="s">
        <v>135</v>
      </c>
      <c r="U1" s="126"/>
      <c r="V1" s="126"/>
      <c r="W1" s="126"/>
      <c r="X1" s="126"/>
      <c r="Y1" s="126"/>
      <c r="Z1" s="126"/>
      <c r="AA1" s="82"/>
    </row>
    <row r="2" spans="1:28" ht="20.25" customHeight="1" x14ac:dyDescent="0.25">
      <c r="T2" s="126"/>
      <c r="U2" s="126"/>
      <c r="V2" s="126"/>
      <c r="W2" s="126"/>
      <c r="X2" s="126"/>
      <c r="Y2" s="126"/>
      <c r="Z2" s="126"/>
      <c r="AA2" s="81"/>
    </row>
    <row r="3" spans="1:28" ht="12.75" customHeight="1" x14ac:dyDescent="0.2">
      <c r="T3" s="126"/>
      <c r="U3" s="126"/>
      <c r="V3" s="126"/>
      <c r="W3" s="126"/>
      <c r="X3" s="126"/>
      <c r="Y3" s="126"/>
      <c r="Z3" s="126"/>
    </row>
    <row r="6" spans="1:28" ht="20.25" x14ac:dyDescent="0.2">
      <c r="A6" s="111" t="s">
        <v>293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</row>
    <row r="7" spans="1:28" ht="20.25" x14ac:dyDescent="0.2">
      <c r="A7" s="111" t="s">
        <v>294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</row>
    <row r="8" spans="1:28" ht="26.25" customHeight="1" x14ac:dyDescent="0.2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</row>
    <row r="9" spans="1:28" ht="409.5" customHeight="1" x14ac:dyDescent="0.2">
      <c r="A9" s="116" t="s">
        <v>136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</row>
    <row r="10" spans="1:28" ht="102.75" customHeight="1" x14ac:dyDescent="0.2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</row>
    <row r="11" spans="1:28" ht="32.25" customHeight="1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</row>
    <row r="12" spans="1:28" s="1" customFormat="1" x14ac:dyDescent="0.2">
      <c r="A12" s="115" t="s">
        <v>0</v>
      </c>
      <c r="B12" s="115" t="s">
        <v>137</v>
      </c>
      <c r="C12" s="115" t="s">
        <v>141</v>
      </c>
      <c r="D12" s="115" t="s">
        <v>1</v>
      </c>
      <c r="E12" s="115" t="s">
        <v>2</v>
      </c>
      <c r="F12" s="115"/>
      <c r="G12" s="115"/>
      <c r="H12" s="115"/>
      <c r="I12" s="115" t="s">
        <v>3</v>
      </c>
      <c r="J12" s="120" t="s">
        <v>143</v>
      </c>
      <c r="K12" s="115" t="s">
        <v>274</v>
      </c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8" t="s">
        <v>4</v>
      </c>
    </row>
    <row r="13" spans="1:28" s="1" customFormat="1" ht="27" customHeight="1" x14ac:dyDescent="0.2">
      <c r="A13" s="115"/>
      <c r="B13" s="115"/>
      <c r="C13" s="115"/>
      <c r="D13" s="115"/>
      <c r="E13" s="115" t="s">
        <v>138</v>
      </c>
      <c r="F13" s="115" t="s">
        <v>139</v>
      </c>
      <c r="G13" s="115" t="s">
        <v>140</v>
      </c>
      <c r="H13" s="115"/>
      <c r="I13" s="115"/>
      <c r="J13" s="121"/>
      <c r="K13" s="119" t="s">
        <v>5</v>
      </c>
      <c r="L13" s="115" t="s">
        <v>142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 t="s">
        <v>6</v>
      </c>
      <c r="Z13" s="115" t="s">
        <v>7</v>
      </c>
      <c r="AA13" s="118"/>
      <c r="AB13" s="3"/>
    </row>
    <row r="14" spans="1:28" s="1" customFormat="1" ht="58.5" customHeight="1" x14ac:dyDescent="0.2">
      <c r="A14" s="115"/>
      <c r="B14" s="115"/>
      <c r="C14" s="115"/>
      <c r="D14" s="115"/>
      <c r="E14" s="115"/>
      <c r="F14" s="115"/>
      <c r="G14" s="4" t="s">
        <v>8</v>
      </c>
      <c r="H14" s="4" t="s">
        <v>9</v>
      </c>
      <c r="I14" s="115"/>
      <c r="J14" s="122"/>
      <c r="K14" s="119"/>
      <c r="L14" s="4">
        <v>2019</v>
      </c>
      <c r="M14" s="4">
        <v>2020</v>
      </c>
      <c r="N14" s="4">
        <v>2021</v>
      </c>
      <c r="O14" s="4">
        <v>2022</v>
      </c>
      <c r="P14" s="4">
        <v>2023</v>
      </c>
      <c r="Q14" s="4">
        <v>2024</v>
      </c>
      <c r="R14" s="4">
        <v>2025</v>
      </c>
      <c r="S14" s="4">
        <v>2026</v>
      </c>
      <c r="T14" s="4">
        <v>2027</v>
      </c>
      <c r="U14" s="4">
        <v>2028</v>
      </c>
      <c r="V14" s="4">
        <v>2029</v>
      </c>
      <c r="W14" s="4">
        <v>2030</v>
      </c>
      <c r="X14" s="4">
        <v>2031</v>
      </c>
      <c r="Y14" s="115"/>
      <c r="Z14" s="115"/>
      <c r="AA14" s="118"/>
    </row>
    <row r="15" spans="1:28" s="1" customFormat="1" ht="15.7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5">
        <f>K123</f>
        <v>984676.67659669206</v>
      </c>
      <c r="L15" s="6">
        <f t="shared" ref="L15:Y15" si="0">L123</f>
        <v>37074.350047977197</v>
      </c>
      <c r="M15" s="6">
        <f>M123</f>
        <v>109585.3490275088</v>
      </c>
      <c r="N15" s="6">
        <f t="shared" si="0"/>
        <v>108635.61277235561</v>
      </c>
      <c r="O15" s="6">
        <f>O123</f>
        <v>110093.9958916592</v>
      </c>
      <c r="P15" s="6">
        <f t="shared" si="0"/>
        <v>108116.57133208759</v>
      </c>
      <c r="Q15" s="6">
        <f t="shared" si="0"/>
        <v>108886.41293263693</v>
      </c>
      <c r="R15" s="6">
        <f t="shared" si="0"/>
        <v>111710.53441978132</v>
      </c>
      <c r="S15" s="6">
        <f t="shared" si="0"/>
        <v>108368.09966717655</v>
      </c>
      <c r="T15" s="6">
        <f t="shared" si="0"/>
        <v>109336.76940550881</v>
      </c>
      <c r="U15" s="6">
        <f t="shared" si="0"/>
        <v>72868.981100000005</v>
      </c>
      <c r="V15" s="6">
        <f t="shared" si="0"/>
        <v>0</v>
      </c>
      <c r="W15" s="6">
        <f t="shared" si="0"/>
        <v>0</v>
      </c>
      <c r="X15" s="6">
        <f t="shared" si="0"/>
        <v>0</v>
      </c>
      <c r="Y15" s="6">
        <f t="shared" si="0"/>
        <v>0</v>
      </c>
      <c r="Z15" s="4"/>
      <c r="AA15" s="118"/>
    </row>
    <row r="16" spans="1:28" s="1" customFormat="1" x14ac:dyDescent="0.2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7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  <c r="Q16" s="106">
        <v>17</v>
      </c>
      <c r="R16" s="106">
        <v>18</v>
      </c>
      <c r="S16" s="106">
        <v>19</v>
      </c>
      <c r="T16" s="106">
        <v>20</v>
      </c>
      <c r="U16" s="106">
        <v>21</v>
      </c>
      <c r="V16" s="106">
        <v>22</v>
      </c>
      <c r="W16" s="106">
        <v>23</v>
      </c>
      <c r="X16" s="106">
        <v>24</v>
      </c>
      <c r="Y16" s="106">
        <v>25</v>
      </c>
      <c r="Z16" s="106">
        <v>26</v>
      </c>
      <c r="AA16" s="4"/>
    </row>
    <row r="17" spans="1:32" s="9" customFormat="1" x14ac:dyDescent="0.2">
      <c r="A17" s="114" t="s">
        <v>176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8"/>
    </row>
    <row r="18" spans="1:32" s="9" customFormat="1" ht="16.5" customHeight="1" x14ac:dyDescent="0.2">
      <c r="A18" s="113" t="s">
        <v>10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0"/>
      <c r="AB18" s="11"/>
      <c r="AC18" s="11"/>
      <c r="AD18" s="11"/>
      <c r="AE18" s="11"/>
      <c r="AF18" s="11"/>
    </row>
    <row r="19" spans="1:32" s="9" customFormat="1" ht="137.25" customHeight="1" x14ac:dyDescent="0.2">
      <c r="A19" s="4" t="s">
        <v>11</v>
      </c>
      <c r="B19" s="12" t="s">
        <v>153</v>
      </c>
      <c r="C19" s="12" t="s">
        <v>145</v>
      </c>
      <c r="D19" s="12" t="s">
        <v>152</v>
      </c>
      <c r="E19" s="4" t="s">
        <v>144</v>
      </c>
      <c r="F19" s="4" t="s">
        <v>12</v>
      </c>
      <c r="G19" s="4">
        <v>0</v>
      </c>
      <c r="H19" s="4">
        <v>2.5</v>
      </c>
      <c r="I19" s="12">
        <v>2021</v>
      </c>
      <c r="J19" s="12">
        <v>2021</v>
      </c>
      <c r="K19" s="13">
        <v>32929.64</v>
      </c>
      <c r="L19" s="13">
        <v>0</v>
      </c>
      <c r="M19" s="13"/>
      <c r="N19" s="13">
        <v>32929.64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f>K19-SUM(L19:X19)</f>
        <v>0</v>
      </c>
      <c r="Z19" s="83"/>
      <c r="AA19" s="14" t="s">
        <v>13</v>
      </c>
    </row>
    <row r="20" spans="1:32" s="16" customFormat="1" x14ac:dyDescent="0.2">
      <c r="A20" s="114" t="s">
        <v>14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5"/>
      <c r="AD20" s="16" t="e">
        <f>#REF!/1.18</f>
        <v>#REF!</v>
      </c>
    </row>
    <row r="21" spans="1:32" s="16" customFormat="1" x14ac:dyDescent="0.2">
      <c r="A21" s="4" t="s">
        <v>15</v>
      </c>
      <c r="B21" s="12"/>
      <c r="C21" s="12"/>
      <c r="D21" s="12"/>
      <c r="E21" s="12"/>
      <c r="F21" s="4"/>
      <c r="G21" s="4"/>
      <c r="H21" s="4"/>
      <c r="I21" s="4"/>
      <c r="J21" s="4"/>
      <c r="K21" s="13"/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/>
      <c r="R21" s="13"/>
      <c r="S21" s="13"/>
      <c r="T21" s="13"/>
      <c r="U21" s="13"/>
      <c r="V21" s="13"/>
      <c r="W21" s="13"/>
      <c r="X21" s="13">
        <v>0</v>
      </c>
      <c r="Y21" s="13">
        <v>0</v>
      </c>
      <c r="Z21" s="4"/>
      <c r="AA21" s="15"/>
    </row>
    <row r="22" spans="1:32" s="16" customFormat="1" x14ac:dyDescent="0.2">
      <c r="A22" s="114" t="s">
        <v>16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5"/>
    </row>
    <row r="23" spans="1:32" s="16" customFormat="1" ht="11.25" customHeight="1" x14ac:dyDescent="0.2">
      <c r="A23" s="17" t="s">
        <v>17</v>
      </c>
      <c r="B23" s="12"/>
      <c r="C23" s="12"/>
      <c r="D23" s="12"/>
      <c r="E23" s="4"/>
      <c r="F23" s="4"/>
      <c r="G23" s="4"/>
      <c r="H23" s="4"/>
      <c r="I23" s="12"/>
      <c r="J23" s="12"/>
      <c r="K23" s="13"/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/>
      <c r="R23" s="13"/>
      <c r="S23" s="13"/>
      <c r="T23" s="13"/>
      <c r="U23" s="13"/>
      <c r="V23" s="13"/>
      <c r="W23" s="13"/>
      <c r="X23" s="13">
        <v>0</v>
      </c>
      <c r="Y23" s="13">
        <v>0</v>
      </c>
      <c r="Z23" s="13"/>
      <c r="AA23" s="18"/>
    </row>
    <row r="24" spans="1:32" s="16" customFormat="1" ht="14.25" customHeight="1" x14ac:dyDescent="0.2">
      <c r="A24" s="114" t="s">
        <v>18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8"/>
    </row>
    <row r="25" spans="1:32" s="16" customFormat="1" x14ac:dyDescent="0.2">
      <c r="A25" s="4" t="s">
        <v>19</v>
      </c>
      <c r="B25" s="12"/>
      <c r="C25" s="12"/>
      <c r="D25" s="12"/>
      <c r="E25" s="12"/>
      <c r="F25" s="4"/>
      <c r="G25" s="4"/>
      <c r="H25" s="4"/>
      <c r="I25" s="4"/>
      <c r="J25" s="4"/>
      <c r="K25" s="1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18"/>
    </row>
    <row r="26" spans="1:32" s="16" customFormat="1" ht="14.25" customHeight="1" x14ac:dyDescent="0.2">
      <c r="A26" s="113" t="s">
        <v>20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9">
        <f>K19+K21+K23+K25</f>
        <v>32929.64</v>
      </c>
      <c r="L26" s="19">
        <f t="shared" ref="L26:Y26" si="1">L19+L21+L23+L25</f>
        <v>0</v>
      </c>
      <c r="M26" s="19">
        <f t="shared" si="1"/>
        <v>0</v>
      </c>
      <c r="N26" s="19">
        <f t="shared" si="1"/>
        <v>32929.64</v>
      </c>
      <c r="O26" s="19">
        <f t="shared" si="1"/>
        <v>0</v>
      </c>
      <c r="P26" s="19">
        <f t="shared" si="1"/>
        <v>0</v>
      </c>
      <c r="Q26" s="19">
        <f t="shared" si="1"/>
        <v>0</v>
      </c>
      <c r="R26" s="19">
        <f t="shared" si="1"/>
        <v>0</v>
      </c>
      <c r="S26" s="19">
        <f t="shared" si="1"/>
        <v>0</v>
      </c>
      <c r="T26" s="19">
        <f t="shared" si="1"/>
        <v>0</v>
      </c>
      <c r="U26" s="19">
        <f t="shared" si="1"/>
        <v>0</v>
      </c>
      <c r="V26" s="19">
        <f t="shared" si="1"/>
        <v>0</v>
      </c>
      <c r="W26" s="19">
        <f t="shared" si="1"/>
        <v>0</v>
      </c>
      <c r="X26" s="19">
        <f t="shared" si="1"/>
        <v>0</v>
      </c>
      <c r="Y26" s="19">
        <f t="shared" si="1"/>
        <v>0</v>
      </c>
      <c r="Z26" s="19">
        <f>Z19+Z21+Z23+Z25</f>
        <v>0</v>
      </c>
      <c r="AA26" s="20"/>
      <c r="AB26" s="21"/>
      <c r="AC26" s="21"/>
      <c r="AD26" s="21">
        <f>K23/1.18</f>
        <v>0</v>
      </c>
      <c r="AE26" s="21"/>
      <c r="AF26" s="21"/>
    </row>
    <row r="27" spans="1:32" s="16" customFormat="1" x14ac:dyDescent="0.2">
      <c r="A27" s="113" t="s">
        <v>21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20"/>
      <c r="AB27" s="21"/>
      <c r="AC27" s="21"/>
      <c r="AD27" s="21"/>
      <c r="AE27" s="21"/>
      <c r="AF27" s="21"/>
    </row>
    <row r="28" spans="1:32" s="16" customFormat="1" ht="242.25" customHeight="1" x14ac:dyDescent="0.2">
      <c r="A28" s="22" t="s">
        <v>146</v>
      </c>
      <c r="B28" s="23" t="s">
        <v>22</v>
      </c>
      <c r="C28" s="23" t="s">
        <v>275</v>
      </c>
      <c r="D28" s="23" t="s">
        <v>288</v>
      </c>
      <c r="E28" s="23" t="s">
        <v>154</v>
      </c>
      <c r="F28" s="29" t="s">
        <v>23</v>
      </c>
      <c r="G28" s="29">
        <v>40.880000000000003</v>
      </c>
      <c r="H28" s="29">
        <v>84.73</v>
      </c>
      <c r="I28" s="23">
        <v>2023</v>
      </c>
      <c r="J28" s="23">
        <v>2026</v>
      </c>
      <c r="K28" s="24">
        <f>210000-89727.11</f>
        <v>120272.89</v>
      </c>
      <c r="L28" s="24"/>
      <c r="M28" s="24"/>
      <c r="N28" s="24"/>
      <c r="O28" s="24"/>
      <c r="P28" s="24">
        <f>K28/4</f>
        <v>30068.2225</v>
      </c>
      <c r="Q28" s="24">
        <f>P28</f>
        <v>30068.2225</v>
      </c>
      <c r="R28" s="24">
        <f>Q28</f>
        <v>30068.2225</v>
      </c>
      <c r="S28" s="24">
        <f>R28</f>
        <v>30068.2225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13">
        <f t="shared" ref="Y28:Y33" si="2">K28-SUM(L28:X28)</f>
        <v>0</v>
      </c>
      <c r="Z28" s="24">
        <v>0</v>
      </c>
      <c r="AA28" s="25" t="s">
        <v>24</v>
      </c>
      <c r="AB28" s="26"/>
      <c r="AC28" s="26"/>
      <c r="AD28" s="26"/>
      <c r="AE28" s="26"/>
      <c r="AF28" s="26"/>
    </row>
    <row r="29" spans="1:32" s="16" customFormat="1" ht="115.5" customHeight="1" x14ac:dyDescent="0.2">
      <c r="A29" s="22" t="s">
        <v>147</v>
      </c>
      <c r="B29" s="12" t="s">
        <v>158</v>
      </c>
      <c r="C29" s="28" t="s">
        <v>167</v>
      </c>
      <c r="D29" s="28" t="s">
        <v>159</v>
      </c>
      <c r="E29" s="12" t="s">
        <v>157</v>
      </c>
      <c r="F29" s="29" t="s">
        <v>25</v>
      </c>
      <c r="G29" s="29">
        <v>0</v>
      </c>
      <c r="H29" s="29">
        <v>2534.3000000000002</v>
      </c>
      <c r="I29" s="23">
        <v>2023</v>
      </c>
      <c r="J29" s="23">
        <v>2026</v>
      </c>
      <c r="K29" s="24">
        <f>89727.11-5500</f>
        <v>84227.11</v>
      </c>
      <c r="L29" s="24"/>
      <c r="M29" s="24"/>
      <c r="N29" s="84"/>
      <c r="O29" s="84"/>
      <c r="P29" s="24">
        <v>300</v>
      </c>
      <c r="Q29" s="24">
        <f>(K29-P29)/3</f>
        <v>27975.703333333335</v>
      </c>
      <c r="R29" s="24">
        <f>Q29</f>
        <v>27975.703333333335</v>
      </c>
      <c r="S29" s="24">
        <f>R29</f>
        <v>27975.703333333335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13">
        <f t="shared" si="2"/>
        <v>0</v>
      </c>
      <c r="Z29" s="24">
        <v>0</v>
      </c>
      <c r="AA29" s="25" t="s">
        <v>26</v>
      </c>
      <c r="AB29" s="26"/>
      <c r="AC29" s="26"/>
      <c r="AD29" s="26"/>
      <c r="AE29" s="26"/>
      <c r="AF29" s="26"/>
    </row>
    <row r="30" spans="1:32" s="16" customFormat="1" ht="117.75" customHeight="1" x14ac:dyDescent="0.2">
      <c r="A30" s="22" t="s">
        <v>148</v>
      </c>
      <c r="B30" s="12" t="s">
        <v>155</v>
      </c>
      <c r="C30" s="28" t="s">
        <v>276</v>
      </c>
      <c r="D30" s="28" t="s">
        <v>160</v>
      </c>
      <c r="E30" s="12" t="s">
        <v>156</v>
      </c>
      <c r="F30" s="29" t="s">
        <v>25</v>
      </c>
      <c r="G30" s="4">
        <f>237+200</f>
        <v>437</v>
      </c>
      <c r="H30" s="29">
        <v>0</v>
      </c>
      <c r="I30" s="12">
        <v>2026</v>
      </c>
      <c r="J30" s="12">
        <v>2027</v>
      </c>
      <c r="K30" s="13">
        <v>25083.4</v>
      </c>
      <c r="L30" s="24"/>
      <c r="M30" s="24"/>
      <c r="N30" s="24">
        <v>0</v>
      </c>
      <c r="O30" s="24">
        <v>0</v>
      </c>
      <c r="P30" s="24">
        <v>0</v>
      </c>
      <c r="Q30" s="84"/>
      <c r="R30" s="84"/>
      <c r="S30" s="24">
        <f>K30/2</f>
        <v>12541.7</v>
      </c>
      <c r="T30" s="24">
        <f>S30</f>
        <v>12541.7</v>
      </c>
      <c r="U30" s="24"/>
      <c r="V30" s="24">
        <v>0</v>
      </c>
      <c r="W30" s="24">
        <v>0</v>
      </c>
      <c r="X30" s="24">
        <v>0</v>
      </c>
      <c r="Y30" s="13">
        <f t="shared" si="2"/>
        <v>0</v>
      </c>
      <c r="Z30" s="24">
        <v>0</v>
      </c>
      <c r="AA30" s="25" t="s">
        <v>13</v>
      </c>
      <c r="AB30" s="26"/>
      <c r="AC30" s="26"/>
      <c r="AD30" s="26"/>
      <c r="AE30" s="26"/>
      <c r="AF30" s="26"/>
    </row>
    <row r="31" spans="1:32" s="16" customFormat="1" ht="95.25" customHeight="1" x14ac:dyDescent="0.2">
      <c r="A31" s="22" t="s">
        <v>149</v>
      </c>
      <c r="B31" s="12" t="s">
        <v>168</v>
      </c>
      <c r="C31" s="28" t="s">
        <v>164</v>
      </c>
      <c r="D31" s="28" t="s">
        <v>161</v>
      </c>
      <c r="E31" s="105" t="s">
        <v>156</v>
      </c>
      <c r="F31" s="29" t="s">
        <v>25</v>
      </c>
      <c r="G31" s="29">
        <v>0</v>
      </c>
      <c r="H31" s="4">
        <f>284.5+94.5</f>
        <v>379</v>
      </c>
      <c r="I31" s="12">
        <v>2025</v>
      </c>
      <c r="J31" s="12">
        <v>2025</v>
      </c>
      <c r="K31" s="13">
        <v>17093.009999999998</v>
      </c>
      <c r="L31" s="24"/>
      <c r="M31" s="24">
        <v>0</v>
      </c>
      <c r="N31" s="24">
        <v>0</v>
      </c>
      <c r="O31" s="84"/>
      <c r="P31" s="84"/>
      <c r="Q31" s="84"/>
      <c r="R31" s="24">
        <v>17093.009999999998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13">
        <f t="shared" si="2"/>
        <v>0</v>
      </c>
      <c r="Z31" s="24">
        <v>0</v>
      </c>
      <c r="AA31" s="25" t="s">
        <v>26</v>
      </c>
      <c r="AB31" s="26"/>
      <c r="AC31" s="26"/>
      <c r="AD31" s="26"/>
      <c r="AE31" s="26"/>
      <c r="AF31" s="26"/>
    </row>
    <row r="32" spans="1:32" s="9" customFormat="1" ht="66.75" customHeight="1" x14ac:dyDescent="0.2">
      <c r="A32" s="22" t="s">
        <v>150</v>
      </c>
      <c r="B32" s="12" t="s">
        <v>169</v>
      </c>
      <c r="C32" s="28" t="s">
        <v>166</v>
      </c>
      <c r="D32" s="28" t="s">
        <v>162</v>
      </c>
      <c r="E32" s="105" t="s">
        <v>156</v>
      </c>
      <c r="F32" s="29" t="s">
        <v>25</v>
      </c>
      <c r="G32" s="29">
        <v>0</v>
      </c>
      <c r="H32" s="29">
        <v>0</v>
      </c>
      <c r="I32" s="12">
        <v>2022</v>
      </c>
      <c r="J32" s="12">
        <v>2023</v>
      </c>
      <c r="K32" s="24">
        <f>9497.25+2500</f>
        <v>11997.25</v>
      </c>
      <c r="L32" s="24"/>
      <c r="M32" s="24"/>
      <c r="N32" s="24">
        <v>0</v>
      </c>
      <c r="O32" s="24">
        <f>K32/2</f>
        <v>5998.625</v>
      </c>
      <c r="P32" s="24">
        <f>O32</f>
        <v>5998.625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13">
        <f t="shared" si="2"/>
        <v>0</v>
      </c>
      <c r="Z32" s="24">
        <v>0</v>
      </c>
      <c r="AA32" s="25" t="s">
        <v>26</v>
      </c>
      <c r="AB32" s="16"/>
      <c r="AC32" s="27">
        <v>59352.151999999995</v>
      </c>
      <c r="AD32" s="27">
        <v>32929.637999999999</v>
      </c>
      <c r="AE32" s="27">
        <v>0</v>
      </c>
      <c r="AF32" s="27">
        <v>0</v>
      </c>
    </row>
    <row r="33" spans="1:32" ht="81.75" customHeight="1" x14ac:dyDescent="0.2">
      <c r="A33" s="22" t="s">
        <v>151</v>
      </c>
      <c r="B33" s="23" t="s">
        <v>27</v>
      </c>
      <c r="C33" s="28" t="s">
        <v>165</v>
      </c>
      <c r="D33" s="28" t="s">
        <v>163</v>
      </c>
      <c r="E33" s="105" t="s">
        <v>156</v>
      </c>
      <c r="F33" s="29" t="s">
        <v>25</v>
      </c>
      <c r="G33" s="30">
        <v>0</v>
      </c>
      <c r="H33" s="30">
        <v>2400</v>
      </c>
      <c r="I33" s="109">
        <v>2027</v>
      </c>
      <c r="J33" s="109">
        <v>2028</v>
      </c>
      <c r="K33" s="31">
        <v>97655.054000000004</v>
      </c>
      <c r="L33" s="30">
        <v>0</v>
      </c>
      <c r="M33" s="30">
        <v>0</v>
      </c>
      <c r="N33" s="30">
        <v>0</v>
      </c>
      <c r="O33" s="30">
        <v>0</v>
      </c>
      <c r="P33" s="30"/>
      <c r="Q33" s="30"/>
      <c r="R33" s="30"/>
      <c r="S33" s="30"/>
      <c r="T33" s="30">
        <f>K33/2</f>
        <v>48827.527000000002</v>
      </c>
      <c r="U33" s="30">
        <f>K33/2</f>
        <v>48827.527000000002</v>
      </c>
      <c r="V33" s="30">
        <v>0</v>
      </c>
      <c r="W33" s="30">
        <v>0</v>
      </c>
      <c r="X33" s="31">
        <f>K33-SUM(L33:V33)</f>
        <v>0</v>
      </c>
      <c r="Y33" s="13">
        <f t="shared" si="2"/>
        <v>0</v>
      </c>
      <c r="Z33" s="30">
        <v>0</v>
      </c>
    </row>
    <row r="34" spans="1:32" s="16" customFormat="1" ht="12.75" customHeight="1" x14ac:dyDescent="0.2">
      <c r="A34" s="113" t="s">
        <v>28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9">
        <f>SUM(K28:K33)</f>
        <v>356328.71400000004</v>
      </c>
      <c r="L34" s="19">
        <f t="shared" ref="L34:Z34" si="3">SUM(L28:L33)</f>
        <v>0</v>
      </c>
      <c r="M34" s="19">
        <f t="shared" si="3"/>
        <v>0</v>
      </c>
      <c r="N34" s="19">
        <f t="shared" si="3"/>
        <v>0</v>
      </c>
      <c r="O34" s="19">
        <f t="shared" si="3"/>
        <v>5998.625</v>
      </c>
      <c r="P34" s="19">
        <f t="shared" si="3"/>
        <v>36366.847500000003</v>
      </c>
      <c r="Q34" s="19">
        <f t="shared" si="3"/>
        <v>58043.925833333335</v>
      </c>
      <c r="R34" s="19">
        <f t="shared" si="3"/>
        <v>75136.935833333337</v>
      </c>
      <c r="S34" s="19">
        <f t="shared" si="3"/>
        <v>70585.625833333339</v>
      </c>
      <c r="T34" s="19">
        <f t="shared" si="3"/>
        <v>61369.226999999999</v>
      </c>
      <c r="U34" s="19">
        <f t="shared" si="3"/>
        <v>48827.527000000002</v>
      </c>
      <c r="V34" s="19">
        <f t="shared" si="3"/>
        <v>0</v>
      </c>
      <c r="W34" s="19">
        <f t="shared" si="3"/>
        <v>0</v>
      </c>
      <c r="X34" s="19">
        <f t="shared" si="3"/>
        <v>0</v>
      </c>
      <c r="Y34" s="19">
        <f t="shared" si="3"/>
        <v>0</v>
      </c>
      <c r="Z34" s="19">
        <f t="shared" si="3"/>
        <v>0</v>
      </c>
      <c r="AA34" s="20"/>
      <c r="AB34" s="21"/>
      <c r="AC34" s="21"/>
      <c r="AD34" s="21"/>
      <c r="AE34" s="21"/>
      <c r="AF34" s="21"/>
    </row>
    <row r="35" spans="1:32" s="16" customFormat="1" x14ac:dyDescent="0.2">
      <c r="A35" s="114" t="s">
        <v>170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8"/>
      <c r="AE35" s="32">
        <f>K34-L34</f>
        <v>356328.71400000004</v>
      </c>
    </row>
    <row r="36" spans="1:32" s="16" customFormat="1" x14ac:dyDescent="0.2">
      <c r="A36" s="114" t="s">
        <v>171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8"/>
      <c r="AE36" s="16">
        <f>AE35/1.18</f>
        <v>301973.48644067801</v>
      </c>
    </row>
    <row r="37" spans="1:32" s="16" customFormat="1" x14ac:dyDescent="0.2">
      <c r="A37" s="33"/>
      <c r="B37" s="10" t="s">
        <v>29</v>
      </c>
      <c r="C37" s="10"/>
      <c r="D37" s="10"/>
      <c r="E37" s="34"/>
      <c r="F37" s="34"/>
      <c r="G37" s="34"/>
      <c r="H37" s="34"/>
      <c r="I37" s="10"/>
      <c r="J37" s="10"/>
      <c r="K37" s="19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18"/>
    </row>
    <row r="38" spans="1:32" s="16" customFormat="1" ht="59.25" customHeight="1" x14ac:dyDescent="0.2">
      <c r="A38" s="4" t="s">
        <v>30</v>
      </c>
      <c r="B38" s="12" t="s">
        <v>31</v>
      </c>
      <c r="C38" s="12" t="s">
        <v>173</v>
      </c>
      <c r="D38" s="12" t="s">
        <v>172</v>
      </c>
      <c r="E38" s="4" t="s">
        <v>33</v>
      </c>
      <c r="F38" s="4" t="s">
        <v>23</v>
      </c>
      <c r="G38" s="4">
        <v>100</v>
      </c>
      <c r="H38" s="4">
        <v>0</v>
      </c>
      <c r="I38" s="12">
        <v>2019</v>
      </c>
      <c r="J38" s="12">
        <v>2022</v>
      </c>
      <c r="K38" s="13">
        <f>'[1]вед. под перекладку-итог'!H148*1.05</f>
        <v>32864.290661999999</v>
      </c>
      <c r="L38" s="13">
        <f>IF(('[1]вед. под перекладку-итог'!V147=0)*AND('[1]вед. под перекладку-итог'!W147&lt;&gt;0),'Задание и перечень мероприятий'!$K38/1.05*0.05,'[1]вед. под перекладку-итог'!V147)</f>
        <v>1564.966222</v>
      </c>
      <c r="M38" s="13">
        <f>IF(('[1]вед. под перекладку-итог'!W147=0)*AND('[1]вед. под перекладку-итог'!X147&lt;&gt;0),'Задание и перечень мероприятий'!$K38/1.05*0.05,'[1]вед. под перекладку-итог'!W147)</f>
        <v>17691.544979999999</v>
      </c>
      <c r="N38" s="13">
        <f>IF(('[1]вед. под перекладку-итог'!X147=0)*AND('[1]вед. под перекладку-итог'!Y147&lt;&gt;0),'Задание и перечень мероприятий'!$K38/1.05*0.05,'[1]вед. под перекладку-итог'!X147)</f>
        <v>9291.9240599999994</v>
      </c>
      <c r="O38" s="13">
        <f>IF(('[1]вед. под перекладку-итог'!Y147=0)*AND('[1]вед. под перекладку-итог'!Z147&lt;&gt;0),'Задание и перечень мероприятий'!$K38/1.05*0.05,'[1]вед. под перекладку-итог'!Y147)</f>
        <v>4315.8553999999995</v>
      </c>
      <c r="P38" s="13">
        <f>IF(('[1]вед. под перекладку-итог'!Z147=0)*AND('[1]вед. под перекладку-итог'!AA147&lt;&gt;0),'Задание и перечень мероприятий'!$K38/1.05*0.05,'[1]вед. под перекладку-итог'!Z147)</f>
        <v>0</v>
      </c>
      <c r="Q38" s="13">
        <f>IF(('[1]вед. под перекладку-итог'!AA147=0)*AND('[1]вед. под перекладку-итог'!AB147&lt;&gt;0),'Задание и перечень мероприятий'!$K38/1.05*0.05,'[1]вед. под перекладку-итог'!AA147)</f>
        <v>0</v>
      </c>
      <c r="R38" s="13">
        <f>IF(('[1]вед. под перекладку-итог'!AB147=0)*AND('[1]вед. под перекладку-итог'!AC147&lt;&gt;0),'Задание и перечень мероприятий'!$K38/1.05*0.05,'[1]вед. под перекладку-итог'!AB147)</f>
        <v>0</v>
      </c>
      <c r="S38" s="13">
        <f>IF(('[1]вед. под перекладку-итог'!AC147=0)*AND('[1]вед. под перекладку-итог'!AD147&lt;&gt;0),'Задание и перечень мероприятий'!$K38/1.05*0.05,'[1]вед. под перекладку-итог'!AC147)</f>
        <v>0</v>
      </c>
      <c r="T38" s="13">
        <f>IF(('[1]вед. под перекладку-итог'!AD147=0)*AND('[1]вед. под перекладку-итог'!AE147&lt;&gt;0),'Задание и перечень мероприятий'!$K38/1.05*0.05,'[1]вед. под перекладку-итог'!AD147)</f>
        <v>0</v>
      </c>
      <c r="U38" s="13">
        <f>IF(('[1]вед. под перекладку-итог'!AE147=0)*AND('[1]вед. под перекладку-итог'!AF147&lt;&gt;0),'Задание и перечень мероприятий'!$K38/1.05*0.05,'[1]вед. под перекладку-итог'!AE147)</f>
        <v>0</v>
      </c>
      <c r="V38" s="13">
        <f>IF(('[1]вед. под перекладку-итог'!AF147=0)*AND('[1]вед. под перекладку-итог'!AG147&lt;&gt;0),'Задание и перечень мероприятий'!$K38/1.05*0.05,'[1]вед. под перекладку-итог'!AF147)</f>
        <v>0</v>
      </c>
      <c r="W38" s="13">
        <f>IF(('[1]вед. под перекладку-итог'!AG147=0)*AND('[1]вед. под перекладку-итог'!AH147&lt;&gt;0),'Задание и перечень мероприятий'!$K38/1.05*0.05,'[1]вед. под перекладку-итог'!Y17)</f>
        <v>0</v>
      </c>
      <c r="X38" s="13">
        <f>IF(('[1]вед. под перекладку-итог'!AH147=0)*AND('[1]вед. под перекладку-итог'!AI147&lt;&gt;0),'Задание и перечень мероприятий'!$K38/1.05*0.05,'[1]вед. под перекладку-итог'!Z17)</f>
        <v>0</v>
      </c>
      <c r="Y38" s="13">
        <f>K38-SUM(L38:X38)</f>
        <v>0</v>
      </c>
      <c r="Z38" s="13">
        <v>0</v>
      </c>
      <c r="AA38" s="18"/>
      <c r="AC38" s="16">
        <f>110174.21-108000</f>
        <v>2174.2100000000064</v>
      </c>
      <c r="AD38" s="32">
        <f>P38-AC38</f>
        <v>-2174.2100000000064</v>
      </c>
    </row>
    <row r="39" spans="1:32" s="16" customFormat="1" ht="12.75" customHeight="1" x14ac:dyDescent="0.2">
      <c r="A39" s="33"/>
      <c r="B39" s="10" t="s">
        <v>29</v>
      </c>
      <c r="C39" s="10"/>
      <c r="D39" s="10"/>
      <c r="E39" s="34"/>
      <c r="F39" s="34"/>
      <c r="G39" s="34"/>
      <c r="H39" s="34"/>
      <c r="I39" s="10"/>
      <c r="J39" s="10"/>
      <c r="K39" s="19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18"/>
    </row>
    <row r="40" spans="1:32" s="16" customFormat="1" ht="61.5" customHeight="1" x14ac:dyDescent="0.2">
      <c r="A40" s="4" t="s">
        <v>128</v>
      </c>
      <c r="B40" s="12" t="s">
        <v>34</v>
      </c>
      <c r="C40" s="105" t="s">
        <v>173</v>
      </c>
      <c r="D40" s="12" t="s">
        <v>174</v>
      </c>
      <c r="E40" s="4" t="s">
        <v>33</v>
      </c>
      <c r="F40" s="4" t="s">
        <v>23</v>
      </c>
      <c r="G40" s="4">
        <v>100</v>
      </c>
      <c r="H40" s="4">
        <v>0</v>
      </c>
      <c r="I40" s="12">
        <v>2019</v>
      </c>
      <c r="J40" s="12">
        <v>2021</v>
      </c>
      <c r="K40" s="13">
        <f>'[1]вед. под перекладку-итог'!H166*1.05</f>
        <v>41922.503773499993</v>
      </c>
      <c r="L40" s="13">
        <f>IF(('[1]вед. под перекладку-итог'!V165=0)*AND('[1]вед. под перекладку-итог'!W165&lt;&gt;0),'Задание и перечень мероприятий'!$K40/1.05*0.05,'[1]вед. под перекладку-итог'!V165)</f>
        <v>1996.3097034999996</v>
      </c>
      <c r="M40" s="13">
        <f>IF(('[1]вед. под перекладку-итог'!W165=0)*AND('[1]вед. под перекладку-итог'!X165&lt;&gt;0),'Задание и перечень мероприятий'!$K40/1.05*0.05,'[1]вед. под перекладку-итог'!W165)</f>
        <v>21808.266589999999</v>
      </c>
      <c r="N40" s="13">
        <f>IF(('[1]вед. под перекладку-итог'!X165=0)*AND('[1]вед. под перекладку-итог'!Y165&lt;&gt;0),'Задание и перечень мероприятий'!$K40/1.05*0.05,'[1]вед. под перекладку-итог'!X165)</f>
        <v>18117.927480000002</v>
      </c>
      <c r="O40" s="13">
        <f>IF(('[1]вед. под перекладку-итог'!Y165=0)*AND('[1]вед. под перекладку-итог'!Z165&lt;&gt;0),'Задание и перечень мероприятий'!$K40/1.05*0.05,'[1]вед. под перекладку-итог'!Y165)</f>
        <v>0</v>
      </c>
      <c r="P40" s="13">
        <f>IF(('[1]вед. под перекладку-итог'!Z165=0)*AND('[1]вед. под перекладку-итог'!AA165&lt;&gt;0),'Задание и перечень мероприятий'!$K40/1.05*0.05,'[1]вед. под перекладку-итог'!Z165)</f>
        <v>0</v>
      </c>
      <c r="Q40" s="13">
        <f>IF(('[1]вед. под перекладку-итог'!AA165=0)*AND('[1]вед. под перекладку-итог'!AB165&lt;&gt;0),'Задание и перечень мероприятий'!$K40/1.05*0.05,'[1]вед. под перекладку-итог'!AA165)</f>
        <v>0</v>
      </c>
      <c r="R40" s="13">
        <f>IF(('[1]вед. под перекладку-итог'!AB165=0)*AND('[1]вед. под перекладку-итог'!AC165&lt;&gt;0),'Задание и перечень мероприятий'!$K40/1.05*0.05,'[1]вед. под перекладку-итог'!AB165)</f>
        <v>0</v>
      </c>
      <c r="S40" s="13">
        <f>IF(('[1]вед. под перекладку-итог'!AC165=0)*AND('[1]вед. под перекладку-итог'!AD165&lt;&gt;0),'Задание и перечень мероприятий'!$K40/1.05*0.05,'[1]вед. под перекладку-итог'!AC165)</f>
        <v>0</v>
      </c>
      <c r="T40" s="13">
        <f>IF(('[1]вед. под перекладку-итог'!AD165=0)*AND('[1]вед. под перекладку-итог'!AE165&lt;&gt;0),'Задание и перечень мероприятий'!$K40/1.05*0.05,'[1]вед. под перекладку-итог'!AD165)</f>
        <v>0</v>
      </c>
      <c r="U40" s="13">
        <f>IF(('[1]вед. под перекладку-итог'!AE165=0)*AND('[1]вед. под перекладку-итог'!AF165&lt;&gt;0),'Задание и перечень мероприятий'!$K40/1.05*0.05,'[1]вед. под перекладку-итог'!AE165)</f>
        <v>0</v>
      </c>
      <c r="V40" s="13">
        <f>IF(('[1]вед. под перекладку-итог'!AF165=0)*AND('[1]вед. под перекладку-итог'!AG165&lt;&gt;0),'Задание и перечень мероприятий'!$K40/1.05*0.05,'[1]вед. под перекладку-итог'!AF165)</f>
        <v>0</v>
      </c>
      <c r="W40" s="13">
        <f>IF(('[1]вед. под перекладку-итог'!AG165=0)*AND('[1]вед. под перекладку-итог'!AH165&lt;&gt;0),'Задание и перечень мероприятий'!$K40/1.05*0.05,'[1]вед. под перекладку-итог'!AG165)</f>
        <v>0</v>
      </c>
      <c r="X40" s="13">
        <f>IF(('[1]вед. под перекладку-итог'!AH165=0)*AND('[1]вед. под перекладку-итог'!AI165&lt;&gt;0),'Задание и перечень мероприятий'!$K40/1.05*0.05,'[1]вед. под перекладку-итог'!AH165)</f>
        <v>0</v>
      </c>
      <c r="Y40" s="13">
        <f>K40-SUM(L40:X40)</f>
        <v>0</v>
      </c>
      <c r="Z40" s="13">
        <v>0</v>
      </c>
      <c r="AA40" s="18"/>
      <c r="AC40" s="16">
        <f>108*6</f>
        <v>648</v>
      </c>
    </row>
    <row r="41" spans="1:32" s="16" customFormat="1" x14ac:dyDescent="0.2">
      <c r="A41" s="33"/>
      <c r="B41" s="10" t="s">
        <v>35</v>
      </c>
      <c r="C41" s="10"/>
      <c r="D41" s="10"/>
      <c r="E41" s="34"/>
      <c r="F41" s="34"/>
      <c r="G41" s="34"/>
      <c r="H41" s="34"/>
      <c r="I41" s="10"/>
      <c r="J41" s="10"/>
      <c r="K41" s="19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18"/>
    </row>
    <row r="42" spans="1:32" s="16" customFormat="1" ht="67.5" customHeight="1" x14ac:dyDescent="0.2">
      <c r="A42" s="4" t="s">
        <v>36</v>
      </c>
      <c r="B42" s="12" t="s">
        <v>37</v>
      </c>
      <c r="C42" s="105" t="s">
        <v>173</v>
      </c>
      <c r="D42" s="12" t="s">
        <v>38</v>
      </c>
      <c r="E42" s="4" t="s">
        <v>33</v>
      </c>
      <c r="F42" s="4" t="s">
        <v>23</v>
      </c>
      <c r="G42" s="4">
        <v>100</v>
      </c>
      <c r="H42" s="4">
        <v>0</v>
      </c>
      <c r="I42" s="109">
        <v>2019</v>
      </c>
      <c r="J42" s="109">
        <v>2021</v>
      </c>
      <c r="K42" s="13">
        <f>'[1]вед. под перекладку-итог'!H192*1.05</f>
        <v>21415.626750000003</v>
      </c>
      <c r="L42" s="13">
        <f>IF(('[1]вед. под перекладку-итог'!V191=0)*AND('[1]вед. под перекладку-итог'!W191&lt;&gt;0),'Задание и перечень мероприятий'!$K42/1.05*0.05,'[1]вед. под перекладку-итог'!V191)</f>
        <v>1019.7917500000002</v>
      </c>
      <c r="M42" s="13">
        <f>IF(('[1]вед. под перекладку-итог'!W191=0)*AND('[1]вед. под перекладку-итог'!X191&lt;&gt;0),'Задание и перечень мероприятий'!$K42/1.05*0.05,'[1]вед. под перекладку-итог'!W191)</f>
        <v>11568.64896</v>
      </c>
      <c r="N42" s="13">
        <f>IF(('[1]вед. под перекладку-итог'!X191=0)*AND('[1]вед. под перекладку-итог'!Y191&lt;&gt;0),'Задание и перечень мероприятий'!$K42/1.05*0.05,'[1]вед. под перекладку-итог'!X191)</f>
        <v>8827.1860400000005</v>
      </c>
      <c r="O42" s="13">
        <f>IF(('[1]вед. под перекладку-итог'!Y191=0)*AND('[1]вед. под перекладку-итог'!Z191&lt;&gt;0),'Задание и перечень мероприятий'!$K42/1.05*0.05,'[1]вед. под перекладку-итог'!Y191)</f>
        <v>0</v>
      </c>
      <c r="P42" s="13">
        <f>IF(('[1]вед. под перекладку-итог'!Z191=0)*AND('[1]вед. под перекладку-итог'!AA191&lt;&gt;0),'Задание и перечень мероприятий'!$K42/1.05*0.05,'[1]вед. под перекладку-итог'!Z191)</f>
        <v>0</v>
      </c>
      <c r="Q42" s="13">
        <f>IF(('[1]вед. под перекладку-итог'!AA191=0)*AND('[1]вед. под перекладку-итог'!AB191&lt;&gt;0),'Задание и перечень мероприятий'!$K42/1.05*0.05,'[1]вед. под перекладку-итог'!AA191)</f>
        <v>0</v>
      </c>
      <c r="R42" s="13">
        <f>IF(('[1]вед. под перекладку-итог'!AB191=0)*AND('[1]вед. под перекладку-итог'!AC191&lt;&gt;0),'Задание и перечень мероприятий'!$K42/1.05*0.05,'[1]вед. под перекладку-итог'!AB191)</f>
        <v>0</v>
      </c>
      <c r="S42" s="13">
        <f>IF(('[1]вед. под перекладку-итог'!AC191=0)*AND('[1]вед. под перекладку-итог'!AD191&lt;&gt;0),'Задание и перечень мероприятий'!$K42/1.05*0.05,'[1]вед. под перекладку-итог'!AC191)</f>
        <v>0</v>
      </c>
      <c r="T42" s="13">
        <f>IF(('[1]вед. под перекладку-итог'!AD191=0)*AND('[1]вед. под перекладку-итог'!AE191&lt;&gt;0),'Задание и перечень мероприятий'!$K42/1.05*0.05,'[1]вед. под перекладку-итог'!AD191)</f>
        <v>0</v>
      </c>
      <c r="U42" s="13">
        <f>IF(('[1]вед. под перекладку-итог'!AE191=0)*AND('[1]вед. под перекладку-итог'!AF191&lt;&gt;0),'Задание и перечень мероприятий'!$K42/1.05*0.05,'[1]вед. под перекладку-итог'!AE191)</f>
        <v>0</v>
      </c>
      <c r="V42" s="13">
        <f>IF(('[1]вед. под перекладку-итог'!AF191=0)*AND('[1]вед. под перекладку-итог'!AG191&lt;&gt;0),'Задание и перечень мероприятий'!$K42/1.05*0.05,'[1]вед. под перекладку-итог'!AF191)</f>
        <v>0</v>
      </c>
      <c r="W42" s="13">
        <f>IF(('[1]вед. под перекладку-итог'!AG191=0)*AND('[1]вед. под перекладку-итог'!AH191&lt;&gt;0),'Задание и перечень мероприятий'!$K42/1.05*0.05,'[1]вед. под перекладку-итог'!AG191)</f>
        <v>0</v>
      </c>
      <c r="X42" s="13">
        <f>IF(('[1]вед. под перекладку-итог'!AH191=0)*AND('[1]вед. под перекладку-итог'!AI191&lt;&gt;0),'Задание и перечень мероприятий'!$K42/1.05*0.05,'[1]вед. под перекладку-итог'!AH191)</f>
        <v>0</v>
      </c>
      <c r="Y42" s="13">
        <f>K42-SUM(L42:X42)</f>
        <v>0</v>
      </c>
      <c r="Z42" s="13">
        <v>0</v>
      </c>
      <c r="AA42" s="18"/>
      <c r="AD42" s="16">
        <f>30114.07-896.65</f>
        <v>29217.42</v>
      </c>
    </row>
    <row r="43" spans="1:32" s="16" customFormat="1" ht="13.5" customHeight="1" x14ac:dyDescent="0.2">
      <c r="A43" s="33"/>
      <c r="B43" s="10" t="s">
        <v>39</v>
      </c>
      <c r="C43" s="10"/>
      <c r="D43" s="10"/>
      <c r="E43" s="34"/>
      <c r="F43" s="34"/>
      <c r="G43" s="34"/>
      <c r="H43" s="34"/>
      <c r="I43" s="10"/>
      <c r="J43" s="10"/>
      <c r="K43" s="10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18"/>
    </row>
    <row r="44" spans="1:32" s="16" customFormat="1" ht="69.75" customHeight="1" x14ac:dyDescent="0.2">
      <c r="A44" s="4" t="s">
        <v>129</v>
      </c>
      <c r="B44" s="12" t="s">
        <v>40</v>
      </c>
      <c r="C44" s="105" t="s">
        <v>173</v>
      </c>
      <c r="D44" s="12" t="s">
        <v>177</v>
      </c>
      <c r="E44" s="4" t="s">
        <v>33</v>
      </c>
      <c r="F44" s="4" t="s">
        <v>23</v>
      </c>
      <c r="G44" s="4">
        <v>100</v>
      </c>
      <c r="H44" s="4">
        <v>0</v>
      </c>
      <c r="I44" s="12">
        <v>2027</v>
      </c>
      <c r="J44" s="12">
        <v>2028</v>
      </c>
      <c r="K44" s="13">
        <f>'[1]вед. под перекладку-итог'!H294*1.05</f>
        <v>21831.026805000005</v>
      </c>
      <c r="L44" s="13">
        <f>IF(('[1]вед. под перекладку-итог'!V293=0)*AND('[1]вед. под перекладку-итог'!W293&lt;&gt;0),'Задание и перечень мероприятий'!$K44/1.05*0.05,'[1]вед. под перекладку-итог'!V293)</f>
        <v>0</v>
      </c>
      <c r="M44" s="13">
        <f>IF(('[1]вед. под перекладку-итог'!W293=0)*AND('[1]вед. под перекладку-итог'!X293&lt;&gt;0),'Задание и перечень мероприятий'!$K44/1.05*0.05,'[1]вед. под перекладку-итог'!W293)</f>
        <v>0</v>
      </c>
      <c r="N44" s="13">
        <f>IF(('[1]вед. под перекладку-итог'!X293=0)*AND('[1]вед. под перекладку-итог'!Y293&lt;&gt;0),'Задание и перечень мероприятий'!$K44/1.05*0.05,'[1]вед. под перекладку-итог'!X293)</f>
        <v>0</v>
      </c>
      <c r="O44" s="13">
        <f>IF(('[1]вед. под перекладку-итог'!Y293=0)*AND('[1]вед. под перекладку-итог'!Z293&lt;&gt;0),'Задание и перечень мероприятий'!$K44/1.05*0.05,'[1]вед. под перекладку-итог'!Y293)</f>
        <v>0</v>
      </c>
      <c r="P44" s="13">
        <f>IF(('[1]вед. под перекладку-итог'!Z293=0)*AND('[1]вед. под перекладку-итог'!AA293&lt;&gt;0),'Задание и перечень мероприятий'!$K44/1.05*0.05,'[1]вед. под перекладку-итог'!Z293)</f>
        <v>0</v>
      </c>
      <c r="Q44" s="13">
        <f>IF(('[1]вед. под перекладку-итог'!AA293=0)*AND('[1]вед. под перекладку-итог'!AB293&lt;&gt;0),'Задание и перечень мероприятий'!$K44/1.05*0.05,'[1]вед. под перекладку-итог'!AA293)</f>
        <v>0</v>
      </c>
      <c r="R44" s="13">
        <f>IF(('[1]вед. под перекладку-итог'!AB293=0)*AND('[1]вед. под перекладку-итог'!AC293&lt;&gt;0),'Задание и перечень мероприятий'!$K44/1.05*0.05,'[1]вед. под перекладку-итог'!AB293)</f>
        <v>0</v>
      </c>
      <c r="S44" s="13">
        <f>IF(('[1]вед. под перекладку-итог'!AC293=0)*AND('[1]вед. под перекладку-итог'!AD293&lt;&gt;0),'Задание и перечень мероприятий'!$K44/1.05*0.05,'[1]вед. под перекладку-итог'!AC293)</f>
        <v>0</v>
      </c>
      <c r="T44" s="13">
        <f>IF(('[1]вед. под перекладку-итог'!AD293=0)*AND('[1]вед. под перекладку-итог'!AE293&lt;&gt;0),'Задание и перечень мероприятий'!$K44/1.05*0.05,'[1]вед. под перекладку-итог'!AD293)</f>
        <v>1039.5727050000003</v>
      </c>
      <c r="U44" s="13">
        <f>IF(('[1]вед. под перекладку-итог'!AE293=0)*AND('[1]вед. под перекладку-итог'!AF293&lt;&gt;0),'Задание и перечень мероприятий'!$K44/1.05*0.05,'[1]вед. под перекладку-итог'!AE293)</f>
        <v>20791.454099999995</v>
      </c>
      <c r="V44" s="13">
        <f>IF(('[1]вед. под перекладку-итог'!AF293=0)*AND('[1]вед. под перекладку-итог'!AG293&lt;&gt;0),'Задание и перечень мероприятий'!$K44/1.05*0.05,'[1]вед. под перекладку-итог'!AF293)</f>
        <v>0</v>
      </c>
      <c r="W44" s="13">
        <f>IF(('[1]вед. под перекладку-итог'!AG293=0)*AND('[1]вед. под перекладку-итог'!AH293&lt;&gt;0),'Задание и перечень мероприятий'!$K44/1.05*0.05,'[1]вед. под перекладку-итог'!AG293)</f>
        <v>0</v>
      </c>
      <c r="X44" s="13">
        <f>IF(('[1]вед. под перекладку-итог'!AH293=0)*AND('[1]вед. под перекладку-итог'!AI293&lt;&gt;0),'Задание и перечень мероприятий'!$K44/1.05*0.05,'[1]вед. под перекладку-итог'!AH293)</f>
        <v>0</v>
      </c>
      <c r="Y44" s="13">
        <f>K44-SUM(L44:X44)</f>
        <v>0</v>
      </c>
      <c r="Z44" s="13">
        <v>0</v>
      </c>
      <c r="AA44" s="18"/>
    </row>
    <row r="45" spans="1:32" s="16" customFormat="1" hidden="1" x14ac:dyDescent="0.2">
      <c r="A45" s="33"/>
      <c r="B45" s="36" t="s">
        <v>41</v>
      </c>
      <c r="C45" s="36"/>
      <c r="D45" s="36"/>
      <c r="E45" s="33"/>
      <c r="F45" s="33"/>
      <c r="G45" s="33"/>
      <c r="H45" s="33"/>
      <c r="I45" s="36"/>
      <c r="J45" s="36"/>
      <c r="K45" s="36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8"/>
    </row>
    <row r="46" spans="1:32" s="16" customFormat="1" ht="73.5" hidden="1" customHeight="1" x14ac:dyDescent="0.2">
      <c r="A46" s="4"/>
      <c r="B46" s="12"/>
      <c r="C46" s="12"/>
      <c r="D46" s="12"/>
      <c r="E46" s="4"/>
      <c r="F46" s="4"/>
      <c r="G46" s="4"/>
      <c r="H46" s="4"/>
      <c r="I46" s="12"/>
      <c r="J46" s="12"/>
      <c r="K46" s="13"/>
      <c r="L46" s="37"/>
      <c r="M46" s="13"/>
      <c r="N46" s="13"/>
      <c r="O46" s="13"/>
      <c r="P46" s="13"/>
      <c r="Q46" s="30"/>
      <c r="R46" s="30"/>
      <c r="S46" s="30"/>
      <c r="T46" s="30"/>
      <c r="U46" s="30"/>
      <c r="V46" s="30"/>
      <c r="W46" s="30"/>
      <c r="X46" s="13"/>
      <c r="Y46" s="13"/>
      <c r="Z46" s="13"/>
      <c r="AA46" s="18"/>
      <c r="AB46" s="32"/>
      <c r="AC46" s="32">
        <f>228582.96-N15</f>
        <v>119947.34722764438</v>
      </c>
    </row>
    <row r="47" spans="1:32" s="16" customFormat="1" x14ac:dyDescent="0.2">
      <c r="A47" s="113" t="s">
        <v>42</v>
      </c>
      <c r="B47" s="113"/>
      <c r="C47" s="113"/>
      <c r="D47" s="113"/>
      <c r="E47" s="113"/>
      <c r="F47" s="113"/>
      <c r="G47" s="113"/>
      <c r="H47" s="113"/>
      <c r="I47" s="113"/>
      <c r="J47" s="113"/>
      <c r="K47" s="38">
        <f>SUM(K38:K46)</f>
        <v>118033.44799049999</v>
      </c>
      <c r="L47" s="38">
        <f t="shared" ref="L47:Z47" si="4">SUM(L38:L46)</f>
        <v>4581.0676754999995</v>
      </c>
      <c r="M47" s="38">
        <f t="shared" si="4"/>
        <v>51068.460529999997</v>
      </c>
      <c r="N47" s="38">
        <f t="shared" si="4"/>
        <v>36237.037580000004</v>
      </c>
      <c r="O47" s="38">
        <f t="shared" si="4"/>
        <v>4315.8553999999995</v>
      </c>
      <c r="P47" s="38">
        <f t="shared" si="4"/>
        <v>0</v>
      </c>
      <c r="Q47" s="38">
        <f t="shared" si="4"/>
        <v>0</v>
      </c>
      <c r="R47" s="38">
        <f t="shared" si="4"/>
        <v>0</v>
      </c>
      <c r="S47" s="38">
        <f t="shared" si="4"/>
        <v>0</v>
      </c>
      <c r="T47" s="38">
        <f t="shared" si="4"/>
        <v>1039.5727050000003</v>
      </c>
      <c r="U47" s="38">
        <f t="shared" si="4"/>
        <v>20791.454099999995</v>
      </c>
      <c r="V47" s="38">
        <f t="shared" si="4"/>
        <v>0</v>
      </c>
      <c r="W47" s="38">
        <f t="shared" si="4"/>
        <v>0</v>
      </c>
      <c r="X47" s="38">
        <f t="shared" si="4"/>
        <v>0</v>
      </c>
      <c r="Y47" s="38">
        <f t="shared" si="4"/>
        <v>0</v>
      </c>
      <c r="Z47" s="38">
        <f t="shared" si="4"/>
        <v>0</v>
      </c>
      <c r="AA47" s="20"/>
      <c r="AB47" s="39"/>
      <c r="AC47" s="39">
        <v>92974.665622389977</v>
      </c>
      <c r="AD47" s="21">
        <v>100734.09399447001</v>
      </c>
      <c r="AE47" s="21">
        <v>87731.114277399989</v>
      </c>
      <c r="AF47" s="21">
        <v>71615.279931869998</v>
      </c>
    </row>
    <row r="48" spans="1:32" s="16" customFormat="1" x14ac:dyDescent="0.2">
      <c r="A48" s="114" t="s">
        <v>175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8"/>
      <c r="AE48" s="32">
        <f>K47-L47</f>
        <v>113452.38031499999</v>
      </c>
    </row>
    <row r="49" spans="1:31" s="16" customFormat="1" x14ac:dyDescent="0.2">
      <c r="A49" s="34"/>
      <c r="B49" s="10" t="s">
        <v>43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8"/>
      <c r="AE49" s="16">
        <f>AE48/1.18</f>
        <v>96146.085012711861</v>
      </c>
    </row>
    <row r="50" spans="1:31" s="16" customFormat="1" ht="93" customHeight="1" x14ac:dyDescent="0.2">
      <c r="A50" s="40" t="s">
        <v>130</v>
      </c>
      <c r="B50" s="12" t="s">
        <v>44</v>
      </c>
      <c r="C50" s="12" t="s">
        <v>217</v>
      </c>
      <c r="D50" s="12" t="s">
        <v>216</v>
      </c>
      <c r="E50" s="4" t="s">
        <v>246</v>
      </c>
      <c r="F50" s="106" t="s">
        <v>221</v>
      </c>
      <c r="G50" s="12" t="s">
        <v>45</v>
      </c>
      <c r="H50" s="41" t="s">
        <v>46</v>
      </c>
      <c r="I50" s="12">
        <v>2020</v>
      </c>
      <c r="J50" s="12">
        <v>2020</v>
      </c>
      <c r="K50" s="42">
        <v>10150</v>
      </c>
      <c r="L50" s="43">
        <v>0</v>
      </c>
      <c r="M50" s="43">
        <v>10150</v>
      </c>
      <c r="N50" s="15"/>
      <c r="O50" s="13">
        <v>0</v>
      </c>
      <c r="P50" s="13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13">
        <v>0</v>
      </c>
      <c r="Y50" s="13">
        <f>K50-SUM(L50:X50)</f>
        <v>0</v>
      </c>
      <c r="Z50" s="13">
        <v>0</v>
      </c>
      <c r="AA50" s="25" t="s">
        <v>26</v>
      </c>
    </row>
    <row r="51" spans="1:31" s="16" customFormat="1" ht="61.5" customHeight="1" x14ac:dyDescent="0.2">
      <c r="A51" s="40" t="s">
        <v>131</v>
      </c>
      <c r="B51" s="44" t="s">
        <v>281</v>
      </c>
      <c r="C51" s="44" t="s">
        <v>218</v>
      </c>
      <c r="D51" s="12" t="s">
        <v>219</v>
      </c>
      <c r="E51" s="4" t="s">
        <v>247</v>
      </c>
      <c r="F51" s="106" t="s">
        <v>220</v>
      </c>
      <c r="G51" s="43">
        <v>2186.1120000000001</v>
      </c>
      <c r="H51" s="43">
        <v>0</v>
      </c>
      <c r="I51" s="12">
        <v>2019</v>
      </c>
      <c r="J51" s="12">
        <v>2019</v>
      </c>
      <c r="K51" s="43">
        <v>932</v>
      </c>
      <c r="L51" s="43">
        <v>932</v>
      </c>
      <c r="M51" s="45">
        <v>0</v>
      </c>
      <c r="N51" s="13">
        <v>0</v>
      </c>
      <c r="O51" s="13">
        <v>0</v>
      </c>
      <c r="P51" s="13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13">
        <v>0</v>
      </c>
      <c r="Y51" s="13">
        <f>K51-SUM(L51:X51)</f>
        <v>0</v>
      </c>
      <c r="Z51" s="13">
        <v>0</v>
      </c>
      <c r="AA51" s="25"/>
    </row>
    <row r="52" spans="1:31" s="16" customFormat="1" ht="93.75" customHeight="1" x14ac:dyDescent="0.2">
      <c r="A52" s="40" t="s">
        <v>132</v>
      </c>
      <c r="B52" s="12" t="s">
        <v>282</v>
      </c>
      <c r="C52" s="12" t="s">
        <v>218</v>
      </c>
      <c r="D52" s="12" t="s">
        <v>225</v>
      </c>
      <c r="E52" s="4" t="s">
        <v>247</v>
      </c>
      <c r="F52" s="106" t="s">
        <v>220</v>
      </c>
      <c r="G52" s="43">
        <v>2186.1120000000001</v>
      </c>
      <c r="H52" s="43">
        <v>0</v>
      </c>
      <c r="I52" s="12">
        <v>2020</v>
      </c>
      <c r="J52" s="12">
        <v>2020</v>
      </c>
      <c r="K52" s="45">
        <v>2500</v>
      </c>
      <c r="L52" s="43">
        <v>0</v>
      </c>
      <c r="M52" s="45">
        <v>2500</v>
      </c>
      <c r="N52" s="13">
        <v>0</v>
      </c>
      <c r="O52" s="13">
        <v>0</v>
      </c>
      <c r="P52" s="13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13">
        <v>0</v>
      </c>
      <c r="Y52" s="13">
        <f>K52-SUM(L52:X52)</f>
        <v>0</v>
      </c>
      <c r="Z52" s="13">
        <v>0</v>
      </c>
      <c r="AA52" s="25" t="s">
        <v>13</v>
      </c>
    </row>
    <row r="53" spans="1:31" s="16" customFormat="1" ht="19.5" customHeight="1" x14ac:dyDescent="0.2">
      <c r="A53" s="123" t="s">
        <v>47</v>
      </c>
      <c r="B53" s="123"/>
      <c r="C53" s="123"/>
      <c r="D53" s="123"/>
      <c r="E53" s="33"/>
      <c r="F53" s="36"/>
      <c r="G53" s="36"/>
      <c r="H53" s="46"/>
      <c r="I53" s="36"/>
      <c r="J53" s="36"/>
      <c r="K53" s="47">
        <f>SUM(K50:K52)</f>
        <v>13582</v>
      </c>
      <c r="L53" s="47">
        <f t="shared" ref="L53:Z53" si="5">SUM(L50:L52)</f>
        <v>932</v>
      </c>
      <c r="M53" s="47">
        <f t="shared" si="5"/>
        <v>12650</v>
      </c>
      <c r="N53" s="47">
        <f t="shared" si="5"/>
        <v>0</v>
      </c>
      <c r="O53" s="47">
        <f t="shared" si="5"/>
        <v>0</v>
      </c>
      <c r="P53" s="47">
        <f t="shared" si="5"/>
        <v>0</v>
      </c>
      <c r="Q53" s="47">
        <f t="shared" si="5"/>
        <v>0</v>
      </c>
      <c r="R53" s="47">
        <f t="shared" si="5"/>
        <v>0</v>
      </c>
      <c r="S53" s="47">
        <f t="shared" si="5"/>
        <v>0</v>
      </c>
      <c r="T53" s="47">
        <f t="shared" si="5"/>
        <v>0</v>
      </c>
      <c r="U53" s="47">
        <f t="shared" si="5"/>
        <v>0</v>
      </c>
      <c r="V53" s="47">
        <f t="shared" si="5"/>
        <v>0</v>
      </c>
      <c r="W53" s="47">
        <f t="shared" si="5"/>
        <v>0</v>
      </c>
      <c r="X53" s="47">
        <f t="shared" si="5"/>
        <v>0</v>
      </c>
      <c r="Y53" s="47">
        <f t="shared" si="5"/>
        <v>0</v>
      </c>
      <c r="Z53" s="47">
        <f t="shared" si="5"/>
        <v>0</v>
      </c>
      <c r="AA53" s="18"/>
    </row>
    <row r="54" spans="1:31" s="16" customFormat="1" ht="72.75" customHeight="1" x14ac:dyDescent="0.2">
      <c r="A54" s="40" t="s">
        <v>133</v>
      </c>
      <c r="B54" s="12" t="s">
        <v>222</v>
      </c>
      <c r="C54" s="12" t="s">
        <v>249</v>
      </c>
      <c r="D54" s="12" t="s">
        <v>226</v>
      </c>
      <c r="E54" s="4" t="s">
        <v>248</v>
      </c>
      <c r="F54" s="106" t="s">
        <v>48</v>
      </c>
      <c r="G54" s="85">
        <v>47718</v>
      </c>
      <c r="H54" s="86">
        <f>G54-1299</f>
        <v>46419</v>
      </c>
      <c r="I54" s="12">
        <v>2019</v>
      </c>
      <c r="J54" s="12">
        <v>2019</v>
      </c>
      <c r="K54" s="45">
        <v>568.21799999999996</v>
      </c>
      <c r="L54" s="45">
        <v>568.21799999999996</v>
      </c>
      <c r="M54" s="45">
        <v>0</v>
      </c>
      <c r="N54" s="45">
        <v>0</v>
      </c>
      <c r="O54" s="13">
        <v>0</v>
      </c>
      <c r="P54" s="13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13">
        <v>0</v>
      </c>
      <c r="Y54" s="13">
        <f t="shared" ref="Y54:Y72" si="6">K54-SUM(L54:X54)</f>
        <v>0</v>
      </c>
      <c r="Z54" s="13">
        <v>0</v>
      </c>
      <c r="AA54" s="25" t="s">
        <v>26</v>
      </c>
    </row>
    <row r="55" spans="1:31" s="16" customFormat="1" ht="69" customHeight="1" x14ac:dyDescent="0.2">
      <c r="A55" s="40" t="s">
        <v>134</v>
      </c>
      <c r="B55" s="12" t="s">
        <v>224</v>
      </c>
      <c r="C55" s="12" t="s">
        <v>249</v>
      </c>
      <c r="D55" s="12" t="s">
        <v>228</v>
      </c>
      <c r="E55" s="106" t="s">
        <v>248</v>
      </c>
      <c r="F55" s="4" t="s">
        <v>48</v>
      </c>
      <c r="G55" s="48">
        <v>53891.64</v>
      </c>
      <c r="H55" s="87">
        <v>48453.64</v>
      </c>
      <c r="I55" s="109">
        <v>2019</v>
      </c>
      <c r="J55" s="109">
        <v>2019</v>
      </c>
      <c r="K55" s="45">
        <v>270.96199999999999</v>
      </c>
      <c r="L55" s="45">
        <v>270.96199999999999</v>
      </c>
      <c r="M55" s="45">
        <v>0</v>
      </c>
      <c r="N55" s="45">
        <v>0</v>
      </c>
      <c r="O55" s="13">
        <v>0</v>
      </c>
      <c r="P55" s="13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13">
        <v>0</v>
      </c>
      <c r="Y55" s="13">
        <f t="shared" si="6"/>
        <v>0</v>
      </c>
      <c r="Z55" s="13">
        <v>0</v>
      </c>
      <c r="AA55" s="25" t="s">
        <v>26</v>
      </c>
    </row>
    <row r="56" spans="1:31" s="16" customFormat="1" ht="70.5" customHeight="1" x14ac:dyDescent="0.2">
      <c r="A56" s="40" t="s">
        <v>178</v>
      </c>
      <c r="B56" s="12" t="s">
        <v>223</v>
      </c>
      <c r="C56" s="12" t="s">
        <v>249</v>
      </c>
      <c r="D56" s="12" t="s">
        <v>227</v>
      </c>
      <c r="E56" s="106" t="s">
        <v>248</v>
      </c>
      <c r="F56" s="4" t="s">
        <v>48</v>
      </c>
      <c r="G56" s="49">
        <v>33732.600000000006</v>
      </c>
      <c r="H56" s="87">
        <v>30310.600000000006</v>
      </c>
      <c r="I56" s="109">
        <v>2019</v>
      </c>
      <c r="J56" s="109">
        <v>2019</v>
      </c>
      <c r="K56" s="45">
        <v>568.21799999999996</v>
      </c>
      <c r="L56" s="45">
        <v>568.21799999999996</v>
      </c>
      <c r="M56" s="45">
        <v>0</v>
      </c>
      <c r="N56" s="45">
        <v>0</v>
      </c>
      <c r="O56" s="13">
        <v>0</v>
      </c>
      <c r="P56" s="13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13">
        <v>0</v>
      </c>
      <c r="Y56" s="13">
        <f t="shared" si="6"/>
        <v>0</v>
      </c>
      <c r="Z56" s="13">
        <v>0</v>
      </c>
      <c r="AA56" s="25" t="s">
        <v>26</v>
      </c>
    </row>
    <row r="57" spans="1:31" s="16" customFormat="1" ht="73.5" customHeight="1" x14ac:dyDescent="0.2">
      <c r="A57" s="40" t="s">
        <v>179</v>
      </c>
      <c r="B57" s="12" t="s">
        <v>223</v>
      </c>
      <c r="C57" s="105" t="s">
        <v>249</v>
      </c>
      <c r="D57" s="105" t="s">
        <v>229</v>
      </c>
      <c r="E57" s="106" t="s">
        <v>248</v>
      </c>
      <c r="F57" s="4" t="s">
        <v>48</v>
      </c>
      <c r="G57" s="49">
        <v>34147.199999999997</v>
      </c>
      <c r="H57" s="87">
        <v>28995.199999999997</v>
      </c>
      <c r="I57" s="109">
        <v>2019</v>
      </c>
      <c r="J57" s="109">
        <v>2019</v>
      </c>
      <c r="K57" s="45">
        <v>561.09299999999996</v>
      </c>
      <c r="L57" s="45">
        <v>561.09299999999996</v>
      </c>
      <c r="M57" s="45">
        <v>0</v>
      </c>
      <c r="N57" s="13">
        <v>0</v>
      </c>
      <c r="O57" s="13">
        <v>0</v>
      </c>
      <c r="P57" s="13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13">
        <v>0</v>
      </c>
      <c r="Y57" s="13">
        <f t="shared" si="6"/>
        <v>0</v>
      </c>
      <c r="Z57" s="13">
        <v>0</v>
      </c>
      <c r="AA57" s="25" t="s">
        <v>13</v>
      </c>
    </row>
    <row r="58" spans="1:31" s="16" customFormat="1" ht="68.25" customHeight="1" x14ac:dyDescent="0.2">
      <c r="A58" s="40" t="s">
        <v>180</v>
      </c>
      <c r="B58" s="12" t="s">
        <v>224</v>
      </c>
      <c r="C58" s="105" t="s">
        <v>249</v>
      </c>
      <c r="D58" s="105" t="s">
        <v>231</v>
      </c>
      <c r="E58" s="106" t="s">
        <v>248</v>
      </c>
      <c r="F58" s="4" t="s">
        <v>48</v>
      </c>
      <c r="G58" s="49">
        <v>34147.199999999997</v>
      </c>
      <c r="H58" s="87">
        <v>28995.199999999997</v>
      </c>
      <c r="I58" s="109">
        <v>2019</v>
      </c>
      <c r="J58" s="109">
        <v>2019</v>
      </c>
      <c r="K58" s="45">
        <v>589.53099999999995</v>
      </c>
      <c r="L58" s="45">
        <v>589.53099999999995</v>
      </c>
      <c r="M58" s="45">
        <v>0</v>
      </c>
      <c r="N58" s="45">
        <v>0</v>
      </c>
      <c r="O58" s="13">
        <v>0</v>
      </c>
      <c r="P58" s="13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13">
        <v>0</v>
      </c>
      <c r="Y58" s="13">
        <f t="shared" si="6"/>
        <v>0</v>
      </c>
      <c r="Z58" s="13">
        <v>0</v>
      </c>
      <c r="AA58" s="25" t="s">
        <v>26</v>
      </c>
    </row>
    <row r="59" spans="1:31" s="16" customFormat="1" ht="69" customHeight="1" x14ac:dyDescent="0.2">
      <c r="A59" s="40" t="s">
        <v>181</v>
      </c>
      <c r="B59" s="12" t="s">
        <v>224</v>
      </c>
      <c r="C59" s="105" t="s">
        <v>249</v>
      </c>
      <c r="D59" s="105" t="s">
        <v>230</v>
      </c>
      <c r="E59" s="106" t="s">
        <v>248</v>
      </c>
      <c r="F59" s="4" t="s">
        <v>48</v>
      </c>
      <c r="G59" s="49">
        <v>29707.200000000004</v>
      </c>
      <c r="H59" s="87">
        <v>26476.200000000004</v>
      </c>
      <c r="I59" s="12">
        <v>2019</v>
      </c>
      <c r="J59" s="12">
        <v>2019</v>
      </c>
      <c r="K59" s="45">
        <v>589.53099999999995</v>
      </c>
      <c r="L59" s="45">
        <v>589.53099999999995</v>
      </c>
      <c r="M59" s="45">
        <v>0</v>
      </c>
      <c r="N59" s="45">
        <v>0</v>
      </c>
      <c r="O59" s="13">
        <v>0</v>
      </c>
      <c r="P59" s="13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13">
        <v>0</v>
      </c>
      <c r="Y59" s="13">
        <f t="shared" si="6"/>
        <v>0</v>
      </c>
      <c r="Z59" s="13">
        <v>0</v>
      </c>
      <c r="AA59" s="25" t="s">
        <v>26</v>
      </c>
    </row>
    <row r="60" spans="1:31" s="16" customFormat="1" ht="73.5" customHeight="1" x14ac:dyDescent="0.2">
      <c r="A60" s="40" t="s">
        <v>182</v>
      </c>
      <c r="B60" s="12" t="s">
        <v>224</v>
      </c>
      <c r="C60" s="105" t="s">
        <v>249</v>
      </c>
      <c r="D60" s="12" t="s">
        <v>232</v>
      </c>
      <c r="E60" s="106" t="s">
        <v>248</v>
      </c>
      <c r="F60" s="4" t="s">
        <v>48</v>
      </c>
      <c r="G60" s="49">
        <v>102643.2</v>
      </c>
      <c r="H60" s="87">
        <v>92258.2</v>
      </c>
      <c r="I60" s="109">
        <v>2019</v>
      </c>
      <c r="J60" s="109">
        <v>2019</v>
      </c>
      <c r="K60" s="45">
        <v>624.09</v>
      </c>
      <c r="L60" s="45">
        <v>624.09</v>
      </c>
      <c r="M60" s="45">
        <v>0</v>
      </c>
      <c r="N60" s="45">
        <v>0</v>
      </c>
      <c r="O60" s="13">
        <v>0</v>
      </c>
      <c r="P60" s="13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13">
        <v>0</v>
      </c>
      <c r="Y60" s="13">
        <f t="shared" si="6"/>
        <v>0</v>
      </c>
      <c r="Z60" s="13">
        <v>0</v>
      </c>
      <c r="AA60" s="25" t="s">
        <v>26</v>
      </c>
    </row>
    <row r="61" spans="1:31" s="16" customFormat="1" ht="78" customHeight="1" x14ac:dyDescent="0.2">
      <c r="A61" s="40" t="s">
        <v>183</v>
      </c>
      <c r="B61" s="12" t="s">
        <v>223</v>
      </c>
      <c r="C61" s="105" t="s">
        <v>249</v>
      </c>
      <c r="D61" s="12" t="s">
        <v>233</v>
      </c>
      <c r="E61" s="106" t="s">
        <v>248</v>
      </c>
      <c r="F61" s="4" t="s">
        <v>48</v>
      </c>
      <c r="G61" s="49">
        <v>63780.6</v>
      </c>
      <c r="H61" s="87">
        <v>57353.599999999999</v>
      </c>
      <c r="I61" s="109">
        <v>2019</v>
      </c>
      <c r="J61" s="109">
        <v>2019</v>
      </c>
      <c r="K61" s="45">
        <v>800</v>
      </c>
      <c r="L61" s="45">
        <v>800</v>
      </c>
      <c r="M61" s="45">
        <v>0</v>
      </c>
      <c r="N61" s="45">
        <v>0</v>
      </c>
      <c r="O61" s="13">
        <v>0</v>
      </c>
      <c r="P61" s="13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13">
        <v>0</v>
      </c>
      <c r="Y61" s="13">
        <f t="shared" si="6"/>
        <v>0</v>
      </c>
      <c r="Z61" s="13">
        <v>0</v>
      </c>
      <c r="AA61" s="25" t="s">
        <v>26</v>
      </c>
    </row>
    <row r="62" spans="1:31" s="16" customFormat="1" ht="77.25" customHeight="1" x14ac:dyDescent="0.2">
      <c r="A62" s="40" t="s">
        <v>184</v>
      </c>
      <c r="B62" s="12" t="s">
        <v>224</v>
      </c>
      <c r="C62" s="105" t="s">
        <v>249</v>
      </c>
      <c r="D62" s="12" t="s">
        <v>234</v>
      </c>
      <c r="E62" s="106" t="s">
        <v>248</v>
      </c>
      <c r="F62" s="4" t="s">
        <v>48</v>
      </c>
      <c r="G62" s="49">
        <v>37125</v>
      </c>
      <c r="H62" s="87">
        <v>30772</v>
      </c>
      <c r="I62" s="109">
        <v>2019</v>
      </c>
      <c r="J62" s="109">
        <v>2019</v>
      </c>
      <c r="K62" s="45">
        <v>270.96199999999999</v>
      </c>
      <c r="L62" s="45">
        <v>270.96199999999999</v>
      </c>
      <c r="M62" s="45">
        <v>0</v>
      </c>
      <c r="N62" s="45">
        <v>0</v>
      </c>
      <c r="O62" s="13">
        <v>0</v>
      </c>
      <c r="P62" s="13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13">
        <v>0</v>
      </c>
      <c r="Y62" s="13">
        <f t="shared" si="6"/>
        <v>0</v>
      </c>
      <c r="Z62" s="13">
        <v>0</v>
      </c>
      <c r="AA62" s="25" t="s">
        <v>26</v>
      </c>
    </row>
    <row r="63" spans="1:31" s="16" customFormat="1" ht="74.25" customHeight="1" x14ac:dyDescent="0.2">
      <c r="A63" s="40" t="s">
        <v>185</v>
      </c>
      <c r="B63" s="12" t="s">
        <v>223</v>
      </c>
      <c r="C63" s="105" t="s">
        <v>249</v>
      </c>
      <c r="D63" s="12" t="s">
        <v>235</v>
      </c>
      <c r="E63" s="106" t="s">
        <v>248</v>
      </c>
      <c r="F63" s="4" t="s">
        <v>48</v>
      </c>
      <c r="G63" s="49">
        <v>14011.199999999997</v>
      </c>
      <c r="H63" s="87">
        <v>12561.199999999997</v>
      </c>
      <c r="I63" s="109">
        <v>2019</v>
      </c>
      <c r="J63" s="109">
        <v>2019</v>
      </c>
      <c r="K63" s="50">
        <v>561.09299999999996</v>
      </c>
      <c r="L63" s="50">
        <v>561.09299999999996</v>
      </c>
      <c r="M63" s="50">
        <v>0</v>
      </c>
      <c r="N63" s="50">
        <v>0</v>
      </c>
      <c r="O63" s="45">
        <v>0</v>
      </c>
      <c r="P63" s="45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45">
        <v>0</v>
      </c>
      <c r="Y63" s="13">
        <f t="shared" si="6"/>
        <v>0</v>
      </c>
      <c r="Z63" s="13">
        <v>0</v>
      </c>
      <c r="AA63" s="25" t="s">
        <v>26</v>
      </c>
    </row>
    <row r="64" spans="1:31" s="16" customFormat="1" ht="75" customHeight="1" x14ac:dyDescent="0.2">
      <c r="A64" s="40" t="s">
        <v>186</v>
      </c>
      <c r="B64" s="12" t="s">
        <v>224</v>
      </c>
      <c r="C64" s="105" t="s">
        <v>249</v>
      </c>
      <c r="D64" s="12" t="s">
        <v>236</v>
      </c>
      <c r="E64" s="106" t="s">
        <v>248</v>
      </c>
      <c r="F64" s="4" t="s">
        <v>48</v>
      </c>
      <c r="G64" s="48">
        <v>12500.880000000001</v>
      </c>
      <c r="H64" s="87">
        <v>11201.880000000001</v>
      </c>
      <c r="I64" s="109">
        <v>2019</v>
      </c>
      <c r="J64" s="109">
        <v>2019</v>
      </c>
      <c r="K64" s="50">
        <v>561.09299999999996</v>
      </c>
      <c r="L64" s="50">
        <v>561.09299999999996</v>
      </c>
      <c r="M64" s="50">
        <v>0</v>
      </c>
      <c r="N64" s="50">
        <v>0</v>
      </c>
      <c r="O64" s="45">
        <v>0</v>
      </c>
      <c r="P64" s="45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45">
        <v>0</v>
      </c>
      <c r="Y64" s="13">
        <f t="shared" si="6"/>
        <v>0</v>
      </c>
      <c r="Z64" s="13">
        <v>0</v>
      </c>
      <c r="AA64" s="25" t="s">
        <v>26</v>
      </c>
    </row>
    <row r="65" spans="1:28" s="16" customFormat="1" ht="63" customHeight="1" x14ac:dyDescent="0.2">
      <c r="A65" s="40" t="s">
        <v>187</v>
      </c>
      <c r="B65" s="12" t="s">
        <v>224</v>
      </c>
      <c r="C65" s="105" t="s">
        <v>249</v>
      </c>
      <c r="D65" s="12" t="s">
        <v>237</v>
      </c>
      <c r="E65" s="106" t="s">
        <v>248</v>
      </c>
      <c r="F65" s="4" t="s">
        <v>48</v>
      </c>
      <c r="G65" s="49">
        <v>111888</v>
      </c>
      <c r="H65" s="87">
        <v>99252</v>
      </c>
      <c r="I65" s="109">
        <v>2019</v>
      </c>
      <c r="J65" s="109">
        <v>2019</v>
      </c>
      <c r="K65" s="50">
        <v>620.92600000000004</v>
      </c>
      <c r="L65" s="50">
        <v>620.92600000000004</v>
      </c>
      <c r="M65" s="50">
        <v>0</v>
      </c>
      <c r="N65" s="50">
        <v>0</v>
      </c>
      <c r="O65" s="45">
        <v>0</v>
      </c>
      <c r="P65" s="45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45">
        <v>0</v>
      </c>
      <c r="Y65" s="13">
        <f t="shared" si="6"/>
        <v>0</v>
      </c>
      <c r="Z65" s="13">
        <v>0</v>
      </c>
      <c r="AA65" s="25" t="s">
        <v>26</v>
      </c>
    </row>
    <row r="66" spans="1:28" s="16" customFormat="1" ht="68.25" customHeight="1" x14ac:dyDescent="0.2">
      <c r="A66" s="40" t="s">
        <v>188</v>
      </c>
      <c r="B66" s="44" t="s">
        <v>243</v>
      </c>
      <c r="C66" s="105" t="s">
        <v>249</v>
      </c>
      <c r="D66" s="12" t="s">
        <v>238</v>
      </c>
      <c r="E66" s="106" t="s">
        <v>248</v>
      </c>
      <c r="F66" s="4" t="s">
        <v>48</v>
      </c>
      <c r="G66" s="49">
        <v>117069.59999999999</v>
      </c>
      <c r="H66" s="87">
        <v>105314.59999999999</v>
      </c>
      <c r="I66" s="109">
        <v>2019</v>
      </c>
      <c r="J66" s="109">
        <v>2019</v>
      </c>
      <c r="K66" s="42">
        <v>686.27</v>
      </c>
      <c r="L66" s="42">
        <v>686.27</v>
      </c>
      <c r="M66" s="42">
        <v>0</v>
      </c>
      <c r="N66" s="42">
        <v>0</v>
      </c>
      <c r="O66" s="45">
        <v>0</v>
      </c>
      <c r="P66" s="45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45">
        <v>0</v>
      </c>
      <c r="Y66" s="13">
        <f t="shared" si="6"/>
        <v>0</v>
      </c>
      <c r="Z66" s="13">
        <v>0</v>
      </c>
      <c r="AA66" s="25" t="s">
        <v>13</v>
      </c>
    </row>
    <row r="67" spans="1:28" s="16" customFormat="1" ht="69" customHeight="1" x14ac:dyDescent="0.2">
      <c r="A67" s="40" t="s">
        <v>189</v>
      </c>
      <c r="B67" s="44" t="s">
        <v>243</v>
      </c>
      <c r="C67" s="105" t="s">
        <v>249</v>
      </c>
      <c r="D67" s="12" t="s">
        <v>239</v>
      </c>
      <c r="E67" s="106" t="s">
        <v>248</v>
      </c>
      <c r="F67" s="4" t="s">
        <v>48</v>
      </c>
      <c r="G67" s="49">
        <v>13080</v>
      </c>
      <c r="H67" s="87">
        <v>10871.29</v>
      </c>
      <c r="I67" s="109">
        <v>2019</v>
      </c>
      <c r="J67" s="109">
        <v>2019</v>
      </c>
      <c r="K67" s="42">
        <v>562.66800000000001</v>
      </c>
      <c r="L67" s="42">
        <v>562.66800000000001</v>
      </c>
      <c r="M67" s="42">
        <v>0</v>
      </c>
      <c r="N67" s="42">
        <v>0</v>
      </c>
      <c r="O67" s="45">
        <v>0</v>
      </c>
      <c r="P67" s="45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45">
        <v>0</v>
      </c>
      <c r="Y67" s="13">
        <f t="shared" si="6"/>
        <v>0</v>
      </c>
      <c r="Z67" s="13">
        <v>0</v>
      </c>
      <c r="AA67" s="25" t="s">
        <v>13</v>
      </c>
    </row>
    <row r="68" spans="1:28" s="16" customFormat="1" ht="74.25" customHeight="1" x14ac:dyDescent="0.2">
      <c r="A68" s="40" t="s">
        <v>190</v>
      </c>
      <c r="B68" s="51" t="s">
        <v>243</v>
      </c>
      <c r="C68" s="105" t="s">
        <v>249</v>
      </c>
      <c r="D68" s="12" t="s">
        <v>240</v>
      </c>
      <c r="E68" s="106" t="s">
        <v>248</v>
      </c>
      <c r="F68" s="4" t="s">
        <v>48</v>
      </c>
      <c r="G68" s="48">
        <v>12580</v>
      </c>
      <c r="H68" s="87">
        <v>11308</v>
      </c>
      <c r="I68" s="109">
        <v>2019</v>
      </c>
      <c r="J68" s="109">
        <v>2019</v>
      </c>
      <c r="K68" s="43">
        <v>562.66800000000001</v>
      </c>
      <c r="L68" s="43">
        <v>562.66800000000001</v>
      </c>
      <c r="M68" s="43">
        <v>0</v>
      </c>
      <c r="N68" s="43">
        <v>0</v>
      </c>
      <c r="O68" s="45">
        <v>0</v>
      </c>
      <c r="P68" s="45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45">
        <v>0</v>
      </c>
      <c r="Y68" s="13">
        <f t="shared" si="6"/>
        <v>0</v>
      </c>
      <c r="Z68" s="13">
        <v>0</v>
      </c>
      <c r="AA68" s="25" t="s">
        <v>13</v>
      </c>
    </row>
    <row r="69" spans="1:28" s="16" customFormat="1" ht="75" customHeight="1" x14ac:dyDescent="0.2">
      <c r="A69" s="40" t="s">
        <v>191</v>
      </c>
      <c r="B69" s="12" t="s">
        <v>224</v>
      </c>
      <c r="C69" s="105" t="s">
        <v>249</v>
      </c>
      <c r="D69" s="12" t="s">
        <v>241</v>
      </c>
      <c r="E69" s="106" t="s">
        <v>248</v>
      </c>
      <c r="F69" s="4" t="s">
        <v>48</v>
      </c>
      <c r="G69" s="49">
        <v>50040</v>
      </c>
      <c r="H69" s="87">
        <v>44988</v>
      </c>
      <c r="I69" s="109">
        <v>2019</v>
      </c>
      <c r="J69" s="109">
        <v>2019</v>
      </c>
      <c r="K69" s="50">
        <v>667.74599999999998</v>
      </c>
      <c r="L69" s="50">
        <v>667.74599999999998</v>
      </c>
      <c r="M69" s="50">
        <v>0</v>
      </c>
      <c r="N69" s="50">
        <v>0</v>
      </c>
      <c r="O69" s="45">
        <v>0</v>
      </c>
      <c r="P69" s="45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45">
        <v>0</v>
      </c>
      <c r="Y69" s="13">
        <f t="shared" si="6"/>
        <v>0</v>
      </c>
      <c r="Z69" s="13">
        <v>0</v>
      </c>
      <c r="AA69" s="25" t="s">
        <v>26</v>
      </c>
    </row>
    <row r="70" spans="1:28" s="16" customFormat="1" ht="72" customHeight="1" x14ac:dyDescent="0.2">
      <c r="A70" s="40" t="s">
        <v>192</v>
      </c>
      <c r="B70" s="12" t="s">
        <v>224</v>
      </c>
      <c r="C70" s="105" t="s">
        <v>249</v>
      </c>
      <c r="D70" s="12" t="s">
        <v>242</v>
      </c>
      <c r="E70" s="106" t="s">
        <v>248</v>
      </c>
      <c r="F70" s="4" t="s">
        <v>48</v>
      </c>
      <c r="G70" s="49">
        <v>50040</v>
      </c>
      <c r="H70" s="87">
        <v>44988</v>
      </c>
      <c r="I70" s="109">
        <v>2019</v>
      </c>
      <c r="J70" s="109">
        <v>2019</v>
      </c>
      <c r="K70" s="50">
        <v>686.27</v>
      </c>
      <c r="L70" s="50">
        <v>686.27</v>
      </c>
      <c r="M70" s="50">
        <v>0</v>
      </c>
      <c r="N70" s="50">
        <v>0</v>
      </c>
      <c r="O70" s="45">
        <v>0</v>
      </c>
      <c r="P70" s="45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45">
        <v>0</v>
      </c>
      <c r="Y70" s="13">
        <f t="shared" si="6"/>
        <v>0</v>
      </c>
      <c r="Z70" s="13">
        <v>0</v>
      </c>
      <c r="AA70" s="25" t="s">
        <v>13</v>
      </c>
    </row>
    <row r="71" spans="1:28" s="16" customFormat="1" ht="71.25" customHeight="1" x14ac:dyDescent="0.2">
      <c r="A71" s="40" t="s">
        <v>193</v>
      </c>
      <c r="B71" s="12" t="s">
        <v>224</v>
      </c>
      <c r="C71" s="105" t="s">
        <v>249</v>
      </c>
      <c r="D71" s="12" t="s">
        <v>244</v>
      </c>
      <c r="E71" s="106" t="s">
        <v>248</v>
      </c>
      <c r="F71" s="4" t="s">
        <v>48</v>
      </c>
      <c r="G71" s="49">
        <v>50040</v>
      </c>
      <c r="H71" s="87">
        <v>44988</v>
      </c>
      <c r="I71" s="109">
        <v>2019</v>
      </c>
      <c r="J71" s="109">
        <v>2019</v>
      </c>
      <c r="K71" s="50">
        <v>623.55100000000004</v>
      </c>
      <c r="L71" s="50">
        <v>623.55100000000004</v>
      </c>
      <c r="M71" s="50">
        <v>0</v>
      </c>
      <c r="N71" s="50">
        <v>0</v>
      </c>
      <c r="O71" s="45">
        <v>0</v>
      </c>
      <c r="P71" s="45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45">
        <v>0</v>
      </c>
      <c r="Y71" s="13">
        <f t="shared" si="6"/>
        <v>0</v>
      </c>
      <c r="Z71" s="13">
        <v>0</v>
      </c>
      <c r="AA71" s="25" t="s">
        <v>13</v>
      </c>
    </row>
    <row r="72" spans="1:28" s="16" customFormat="1" ht="68.25" customHeight="1" x14ac:dyDescent="0.2">
      <c r="A72" s="40" t="s">
        <v>194</v>
      </c>
      <c r="B72" s="12" t="s">
        <v>224</v>
      </c>
      <c r="C72" s="105" t="s">
        <v>249</v>
      </c>
      <c r="D72" s="12" t="s">
        <v>245</v>
      </c>
      <c r="E72" s="106" t="s">
        <v>248</v>
      </c>
      <c r="F72" s="4" t="s">
        <v>48</v>
      </c>
      <c r="G72" s="49">
        <v>50040</v>
      </c>
      <c r="H72" s="87">
        <v>44988</v>
      </c>
      <c r="I72" s="109">
        <v>2019</v>
      </c>
      <c r="J72" s="109">
        <v>2019</v>
      </c>
      <c r="K72" s="50">
        <v>620.92600000000004</v>
      </c>
      <c r="L72" s="50">
        <v>620.92600000000004</v>
      </c>
      <c r="M72" s="50">
        <v>0</v>
      </c>
      <c r="N72" s="50">
        <v>0</v>
      </c>
      <c r="O72" s="45">
        <v>0</v>
      </c>
      <c r="P72" s="45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45">
        <v>0</v>
      </c>
      <c r="Y72" s="13">
        <f t="shared" si="6"/>
        <v>0</v>
      </c>
      <c r="Z72" s="13">
        <v>0</v>
      </c>
      <c r="AA72" s="25" t="s">
        <v>13</v>
      </c>
    </row>
    <row r="73" spans="1:28" s="16" customFormat="1" ht="39" customHeight="1" x14ac:dyDescent="0.2">
      <c r="A73" s="124" t="s">
        <v>49</v>
      </c>
      <c r="B73" s="124"/>
      <c r="C73" s="124"/>
      <c r="D73" s="124"/>
      <c r="E73" s="33"/>
      <c r="F73" s="33"/>
      <c r="G73" s="52"/>
      <c r="H73" s="88"/>
      <c r="I73" s="36"/>
      <c r="J73" s="36"/>
      <c r="K73" s="53">
        <f>SUM(K54:K72)</f>
        <v>10995.815999999997</v>
      </c>
      <c r="L73" s="53">
        <f t="shared" ref="L73:Z73" si="7">SUM(L54:L72)</f>
        <v>10995.815999999997</v>
      </c>
      <c r="M73" s="53">
        <f t="shared" si="7"/>
        <v>0</v>
      </c>
      <c r="N73" s="53">
        <f t="shared" si="7"/>
        <v>0</v>
      </c>
      <c r="O73" s="53">
        <f t="shared" si="7"/>
        <v>0</v>
      </c>
      <c r="P73" s="53">
        <f t="shared" si="7"/>
        <v>0</v>
      </c>
      <c r="Q73" s="53">
        <f t="shared" si="7"/>
        <v>0</v>
      </c>
      <c r="R73" s="53">
        <f t="shared" si="7"/>
        <v>0</v>
      </c>
      <c r="S73" s="53">
        <f t="shared" si="7"/>
        <v>0</v>
      </c>
      <c r="T73" s="53">
        <f t="shared" si="7"/>
        <v>0</v>
      </c>
      <c r="U73" s="53">
        <f t="shared" si="7"/>
        <v>0</v>
      </c>
      <c r="V73" s="53">
        <f t="shared" si="7"/>
        <v>0</v>
      </c>
      <c r="W73" s="53">
        <f t="shared" si="7"/>
        <v>0</v>
      </c>
      <c r="X73" s="53">
        <f t="shared" si="7"/>
        <v>0</v>
      </c>
      <c r="Y73" s="53">
        <f t="shared" si="7"/>
        <v>0</v>
      </c>
      <c r="Z73" s="53">
        <f t="shared" si="7"/>
        <v>0</v>
      </c>
      <c r="AA73" s="18"/>
    </row>
    <row r="74" spans="1:28" s="56" customFormat="1" ht="46.5" customHeight="1" x14ac:dyDescent="0.2">
      <c r="A74" s="40" t="s">
        <v>195</v>
      </c>
      <c r="B74" s="51" t="s">
        <v>50</v>
      </c>
      <c r="C74" s="51" t="s">
        <v>250</v>
      </c>
      <c r="D74" s="51" t="s">
        <v>252</v>
      </c>
      <c r="E74" s="29" t="s">
        <v>33</v>
      </c>
      <c r="F74" s="51"/>
      <c r="G74" s="51"/>
      <c r="H74" s="51"/>
      <c r="I74" s="12">
        <v>2027</v>
      </c>
      <c r="J74" s="12">
        <v>2027</v>
      </c>
      <c r="K74" s="54">
        <v>3204.93</v>
      </c>
      <c r="L74" s="55">
        <v>0</v>
      </c>
      <c r="M74" s="54">
        <v>0</v>
      </c>
      <c r="N74" s="89"/>
      <c r="O74" s="89"/>
      <c r="P74" s="45">
        <v>0</v>
      </c>
      <c r="Q74" s="30">
        <v>0</v>
      </c>
      <c r="R74" s="89"/>
      <c r="S74" s="89"/>
      <c r="T74" s="54">
        <v>3204.93</v>
      </c>
      <c r="U74" s="89"/>
      <c r="V74" s="30">
        <v>0</v>
      </c>
      <c r="W74" s="30">
        <v>0</v>
      </c>
      <c r="X74" s="45">
        <v>0</v>
      </c>
      <c r="Y74" s="13">
        <f t="shared" ref="Y74:Y85" si="8">K74-SUM(L74:X74)</f>
        <v>0</v>
      </c>
      <c r="Z74" s="55">
        <v>0</v>
      </c>
      <c r="AA74" s="25" t="s">
        <v>26</v>
      </c>
    </row>
    <row r="75" spans="1:28" s="56" customFormat="1" ht="61.5" customHeight="1" x14ac:dyDescent="0.2">
      <c r="A75" s="40" t="s">
        <v>196</v>
      </c>
      <c r="B75" s="51" t="s">
        <v>51</v>
      </c>
      <c r="C75" s="51" t="s">
        <v>250</v>
      </c>
      <c r="D75" s="51" t="s">
        <v>253</v>
      </c>
      <c r="E75" s="29" t="s">
        <v>33</v>
      </c>
      <c r="F75" s="51"/>
      <c r="G75" s="51"/>
      <c r="H75" s="51"/>
      <c r="I75" s="109">
        <v>2027</v>
      </c>
      <c r="J75" s="109">
        <v>2027</v>
      </c>
      <c r="K75" s="54">
        <v>1098.92</v>
      </c>
      <c r="L75" s="54">
        <v>0</v>
      </c>
      <c r="M75" s="54">
        <v>0</v>
      </c>
      <c r="N75" s="89"/>
      <c r="O75" s="89"/>
      <c r="P75" s="45">
        <v>0</v>
      </c>
      <c r="Q75" s="30">
        <v>0</v>
      </c>
      <c r="R75" s="89"/>
      <c r="S75" s="89"/>
      <c r="T75" s="54">
        <v>1098.92</v>
      </c>
      <c r="U75" s="89"/>
      <c r="V75" s="30">
        <v>0</v>
      </c>
      <c r="W75" s="30">
        <v>0</v>
      </c>
      <c r="X75" s="45">
        <v>0</v>
      </c>
      <c r="Y75" s="13">
        <f t="shared" si="8"/>
        <v>0</v>
      </c>
      <c r="Z75" s="55">
        <v>0</v>
      </c>
      <c r="AA75" s="25" t="s">
        <v>13</v>
      </c>
    </row>
    <row r="76" spans="1:28" s="56" customFormat="1" ht="47.25" customHeight="1" x14ac:dyDescent="0.2">
      <c r="A76" s="40" t="s">
        <v>197</v>
      </c>
      <c r="B76" s="51" t="s">
        <v>52</v>
      </c>
      <c r="C76" s="51" t="s">
        <v>250</v>
      </c>
      <c r="D76" s="51" t="s">
        <v>53</v>
      </c>
      <c r="E76" s="29" t="s">
        <v>33</v>
      </c>
      <c r="F76" s="51"/>
      <c r="G76" s="51"/>
      <c r="H76" s="51"/>
      <c r="I76" s="109">
        <v>2027</v>
      </c>
      <c r="J76" s="109">
        <v>2027</v>
      </c>
      <c r="K76" s="54">
        <v>1139.26</v>
      </c>
      <c r="L76" s="54">
        <v>0</v>
      </c>
      <c r="M76" s="54">
        <v>0</v>
      </c>
      <c r="N76" s="89"/>
      <c r="O76" s="89"/>
      <c r="P76" s="45">
        <v>0</v>
      </c>
      <c r="Q76" s="30">
        <v>0</v>
      </c>
      <c r="R76" s="89"/>
      <c r="S76" s="89"/>
      <c r="T76" s="54">
        <v>1139.26</v>
      </c>
      <c r="U76" s="89"/>
      <c r="V76" s="30">
        <v>0</v>
      </c>
      <c r="W76" s="30">
        <v>0</v>
      </c>
      <c r="X76" s="45">
        <v>0</v>
      </c>
      <c r="Y76" s="13">
        <f t="shared" si="8"/>
        <v>0</v>
      </c>
      <c r="Z76" s="55">
        <v>0</v>
      </c>
      <c r="AA76" s="25" t="s">
        <v>13</v>
      </c>
    </row>
    <row r="77" spans="1:28" s="56" customFormat="1" ht="47.25" customHeight="1" x14ac:dyDescent="0.2">
      <c r="A77" s="40" t="s">
        <v>198</v>
      </c>
      <c r="B77" s="51" t="s">
        <v>54</v>
      </c>
      <c r="C77" s="51" t="s">
        <v>250</v>
      </c>
      <c r="D77" s="51" t="s">
        <v>254</v>
      </c>
      <c r="E77" s="29" t="s">
        <v>33</v>
      </c>
      <c r="F77" s="51"/>
      <c r="G77" s="51"/>
      <c r="H77" s="51"/>
      <c r="I77" s="109">
        <v>2027</v>
      </c>
      <c r="J77" s="109">
        <v>2027</v>
      </c>
      <c r="K77" s="54">
        <v>2917.52</v>
      </c>
      <c r="L77" s="55">
        <v>0</v>
      </c>
      <c r="M77" s="54">
        <v>0</v>
      </c>
      <c r="N77" s="89"/>
      <c r="O77" s="89"/>
      <c r="P77" s="54">
        <v>0</v>
      </c>
      <c r="Q77" s="30">
        <v>0</v>
      </c>
      <c r="R77" s="89"/>
      <c r="S77" s="89"/>
      <c r="T77" s="54">
        <v>2917.52</v>
      </c>
      <c r="U77" s="89"/>
      <c r="V77" s="30">
        <v>0</v>
      </c>
      <c r="W77" s="30">
        <v>0</v>
      </c>
      <c r="X77" s="54">
        <v>0</v>
      </c>
      <c r="Y77" s="13">
        <f t="shared" si="8"/>
        <v>0</v>
      </c>
      <c r="Z77" s="55">
        <v>0</v>
      </c>
      <c r="AA77" s="25" t="s">
        <v>26</v>
      </c>
    </row>
    <row r="78" spans="1:28" s="56" customFormat="1" ht="45" customHeight="1" x14ac:dyDescent="0.2">
      <c r="A78" s="40" t="s">
        <v>199</v>
      </c>
      <c r="B78" s="51" t="s">
        <v>55</v>
      </c>
      <c r="C78" s="51" t="s">
        <v>250</v>
      </c>
      <c r="D78" s="51" t="s">
        <v>255</v>
      </c>
      <c r="E78" s="29" t="s">
        <v>33</v>
      </c>
      <c r="F78" s="51"/>
      <c r="G78" s="51"/>
      <c r="H78" s="51"/>
      <c r="I78" s="109">
        <v>2027</v>
      </c>
      <c r="J78" s="109">
        <v>2027</v>
      </c>
      <c r="K78" s="54">
        <v>10540</v>
      </c>
      <c r="L78" s="54">
        <v>0</v>
      </c>
      <c r="M78" s="54">
        <v>0</v>
      </c>
      <c r="N78" s="54">
        <v>0</v>
      </c>
      <c r="O78" s="89"/>
      <c r="P78" s="55">
        <v>0</v>
      </c>
      <c r="Q78" s="30">
        <v>0</v>
      </c>
      <c r="R78" s="89"/>
      <c r="S78" s="89"/>
      <c r="T78" s="54">
        <v>10540</v>
      </c>
      <c r="U78" s="89"/>
      <c r="V78" s="30">
        <v>0</v>
      </c>
      <c r="W78" s="30">
        <v>0</v>
      </c>
      <c r="X78" s="55">
        <v>0</v>
      </c>
      <c r="Y78" s="13">
        <f t="shared" si="8"/>
        <v>0</v>
      </c>
      <c r="Z78" s="55">
        <v>0</v>
      </c>
      <c r="AA78" s="25" t="s">
        <v>26</v>
      </c>
      <c r="AB78" s="57"/>
    </row>
    <row r="79" spans="1:28" s="56" customFormat="1" ht="41.25" customHeight="1" x14ac:dyDescent="0.2">
      <c r="A79" s="40" t="s">
        <v>200</v>
      </c>
      <c r="B79" s="51" t="s">
        <v>56</v>
      </c>
      <c r="C79" s="51" t="s">
        <v>250</v>
      </c>
      <c r="D79" s="51" t="s">
        <v>256</v>
      </c>
      <c r="E79" s="29" t="s">
        <v>33</v>
      </c>
      <c r="F79" s="51"/>
      <c r="G79" s="51"/>
      <c r="H79" s="51"/>
      <c r="I79" s="12">
        <v>2023</v>
      </c>
      <c r="J79" s="12">
        <v>2023</v>
      </c>
      <c r="K79" s="54">
        <v>3261</v>
      </c>
      <c r="L79" s="54">
        <v>0</v>
      </c>
      <c r="M79" s="54">
        <v>0</v>
      </c>
      <c r="N79" s="89"/>
      <c r="O79" s="54">
        <v>0</v>
      </c>
      <c r="P79" s="54">
        <v>3261</v>
      </c>
      <c r="Q79" s="89"/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54">
        <v>0</v>
      </c>
      <c r="Y79" s="13">
        <f t="shared" si="8"/>
        <v>0</v>
      </c>
      <c r="Z79" s="55">
        <v>0</v>
      </c>
      <c r="AA79" s="25" t="s">
        <v>26</v>
      </c>
    </row>
    <row r="80" spans="1:28" s="56" customFormat="1" ht="45" customHeight="1" x14ac:dyDescent="0.2">
      <c r="A80" s="40" t="s">
        <v>201</v>
      </c>
      <c r="B80" s="51" t="s">
        <v>57</v>
      </c>
      <c r="C80" s="51" t="s">
        <v>250</v>
      </c>
      <c r="D80" s="51" t="s">
        <v>257</v>
      </c>
      <c r="E80" s="29" t="s">
        <v>33</v>
      </c>
      <c r="F80" s="51"/>
      <c r="G80" s="51"/>
      <c r="H80" s="51"/>
      <c r="I80" s="109">
        <v>2023</v>
      </c>
      <c r="J80" s="109">
        <v>2023</v>
      </c>
      <c r="K80" s="54">
        <v>3820.12</v>
      </c>
      <c r="L80" s="55">
        <v>0</v>
      </c>
      <c r="M80" s="54">
        <v>0</v>
      </c>
      <c r="N80" s="89"/>
      <c r="O80" s="54">
        <v>0</v>
      </c>
      <c r="P80" s="54">
        <v>3820.12</v>
      </c>
      <c r="Q80" s="89"/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54">
        <v>0</v>
      </c>
      <c r="Y80" s="13">
        <f t="shared" si="8"/>
        <v>0</v>
      </c>
      <c r="Z80" s="55">
        <v>0</v>
      </c>
      <c r="AA80" s="25" t="s">
        <v>26</v>
      </c>
    </row>
    <row r="81" spans="1:32" s="56" customFormat="1" ht="43.5" customHeight="1" x14ac:dyDescent="0.2">
      <c r="A81" s="40" t="s">
        <v>202</v>
      </c>
      <c r="B81" s="51" t="s">
        <v>58</v>
      </c>
      <c r="C81" s="51" t="s">
        <v>250</v>
      </c>
      <c r="D81" s="51" t="s">
        <v>258</v>
      </c>
      <c r="E81" s="29" t="s">
        <v>33</v>
      </c>
      <c r="F81" s="51"/>
      <c r="G81" s="51"/>
      <c r="H81" s="51"/>
      <c r="I81" s="109">
        <v>2023</v>
      </c>
      <c r="J81" s="109">
        <v>2023</v>
      </c>
      <c r="K81" s="54">
        <v>4612.84</v>
      </c>
      <c r="L81" s="55">
        <v>0</v>
      </c>
      <c r="M81" s="54">
        <v>0</v>
      </c>
      <c r="N81" s="89"/>
      <c r="O81" s="54">
        <v>0</v>
      </c>
      <c r="P81" s="54">
        <v>4612.84</v>
      </c>
      <c r="Q81" s="89"/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54">
        <v>0</v>
      </c>
      <c r="Y81" s="13">
        <f t="shared" si="8"/>
        <v>0</v>
      </c>
      <c r="Z81" s="55">
        <v>0</v>
      </c>
      <c r="AA81" s="25" t="s">
        <v>26</v>
      </c>
    </row>
    <row r="82" spans="1:32" s="56" customFormat="1" ht="46.5" customHeight="1" x14ac:dyDescent="0.2">
      <c r="A82" s="40" t="s">
        <v>203</v>
      </c>
      <c r="B82" s="51" t="s">
        <v>59</v>
      </c>
      <c r="C82" s="51" t="s">
        <v>250</v>
      </c>
      <c r="D82" s="51" t="s">
        <v>259</v>
      </c>
      <c r="E82" s="29" t="s">
        <v>33</v>
      </c>
      <c r="F82" s="51"/>
      <c r="G82" s="51"/>
      <c r="H82" s="51"/>
      <c r="I82" s="12">
        <v>2027</v>
      </c>
      <c r="J82" s="12">
        <v>2027</v>
      </c>
      <c r="K82" s="54">
        <v>3227.4</v>
      </c>
      <c r="L82" s="55">
        <v>0</v>
      </c>
      <c r="M82" s="54">
        <v>0</v>
      </c>
      <c r="N82" s="89"/>
      <c r="O82" s="54">
        <v>0</v>
      </c>
      <c r="P82" s="89"/>
      <c r="Q82" s="89"/>
      <c r="R82" s="30">
        <v>0</v>
      </c>
      <c r="S82" s="30">
        <v>0</v>
      </c>
      <c r="T82" s="54">
        <v>3227.4</v>
      </c>
      <c r="U82" s="89"/>
      <c r="V82" s="30">
        <v>0</v>
      </c>
      <c r="W82" s="30">
        <v>0</v>
      </c>
      <c r="X82" s="54">
        <v>0</v>
      </c>
      <c r="Y82" s="13">
        <f t="shared" si="8"/>
        <v>0</v>
      </c>
      <c r="Z82" s="55">
        <v>0</v>
      </c>
      <c r="AA82" s="25" t="s">
        <v>26</v>
      </c>
    </row>
    <row r="83" spans="1:32" s="56" customFormat="1" ht="48.75" customHeight="1" x14ac:dyDescent="0.2">
      <c r="A83" s="40" t="s">
        <v>204</v>
      </c>
      <c r="B83" s="51" t="s">
        <v>60</v>
      </c>
      <c r="C83" s="51" t="s">
        <v>250</v>
      </c>
      <c r="D83" s="51" t="s">
        <v>260</v>
      </c>
      <c r="E83" s="29" t="s">
        <v>33</v>
      </c>
      <c r="F83" s="51"/>
      <c r="G83" s="51"/>
      <c r="H83" s="51"/>
      <c r="I83" s="109">
        <v>2027</v>
      </c>
      <c r="J83" s="109">
        <v>2027</v>
      </c>
      <c r="K83" s="54">
        <v>1831.31</v>
      </c>
      <c r="L83" s="55">
        <v>0</v>
      </c>
      <c r="M83" s="54">
        <v>0</v>
      </c>
      <c r="N83" s="89"/>
      <c r="O83" s="54">
        <v>0</v>
      </c>
      <c r="P83" s="89"/>
      <c r="Q83" s="89"/>
      <c r="R83" s="30">
        <v>0</v>
      </c>
      <c r="S83" s="30">
        <v>0</v>
      </c>
      <c r="T83" s="54">
        <v>1831.31</v>
      </c>
      <c r="U83" s="89"/>
      <c r="V83" s="30">
        <v>0</v>
      </c>
      <c r="W83" s="30">
        <v>0</v>
      </c>
      <c r="X83" s="54">
        <v>0</v>
      </c>
      <c r="Y83" s="13">
        <f t="shared" si="8"/>
        <v>0</v>
      </c>
      <c r="Z83" s="55">
        <v>0</v>
      </c>
      <c r="AA83" s="25" t="s">
        <v>26</v>
      </c>
    </row>
    <row r="84" spans="1:32" s="56" customFormat="1" ht="45.75" customHeight="1" x14ac:dyDescent="0.2">
      <c r="A84" s="40" t="s">
        <v>205</v>
      </c>
      <c r="B84" s="51" t="s">
        <v>61</v>
      </c>
      <c r="C84" s="51" t="s">
        <v>250</v>
      </c>
      <c r="D84" s="51" t="s">
        <v>261</v>
      </c>
      <c r="E84" s="29" t="s">
        <v>33</v>
      </c>
      <c r="F84" s="51"/>
      <c r="G84" s="51"/>
      <c r="H84" s="51"/>
      <c r="I84" s="12">
        <v>2024</v>
      </c>
      <c r="J84" s="12">
        <v>2024</v>
      </c>
      <c r="K84" s="54">
        <v>2672.38</v>
      </c>
      <c r="L84" s="54">
        <v>0</v>
      </c>
      <c r="M84" s="54">
        <v>0</v>
      </c>
      <c r="N84" s="89"/>
      <c r="O84" s="54">
        <v>0</v>
      </c>
      <c r="P84" s="89"/>
      <c r="Q84" s="54">
        <v>2672.38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54">
        <v>0</v>
      </c>
      <c r="Y84" s="13">
        <f t="shared" si="8"/>
        <v>0</v>
      </c>
      <c r="Z84" s="55">
        <v>0</v>
      </c>
      <c r="AA84" s="25" t="s">
        <v>26</v>
      </c>
    </row>
    <row r="85" spans="1:32" s="56" customFormat="1" ht="48.75" customHeight="1" x14ac:dyDescent="0.2">
      <c r="A85" s="40" t="s">
        <v>206</v>
      </c>
      <c r="B85" s="51" t="s">
        <v>62</v>
      </c>
      <c r="C85" s="51" t="s">
        <v>250</v>
      </c>
      <c r="D85" s="51" t="s">
        <v>262</v>
      </c>
      <c r="E85" s="29" t="s">
        <v>33</v>
      </c>
      <c r="F85" s="51"/>
      <c r="G85" s="51"/>
      <c r="H85" s="51"/>
      <c r="I85" s="109">
        <v>2024</v>
      </c>
      <c r="J85" s="109">
        <v>2024</v>
      </c>
      <c r="K85" s="54">
        <v>8631.52</v>
      </c>
      <c r="L85" s="54">
        <v>0</v>
      </c>
      <c r="M85" s="54"/>
      <c r="N85" s="54">
        <v>0</v>
      </c>
      <c r="O85" s="89"/>
      <c r="P85" s="54">
        <v>0</v>
      </c>
      <c r="Q85" s="54">
        <v>8631.52</v>
      </c>
      <c r="R85" s="89"/>
      <c r="S85" s="89"/>
      <c r="T85" s="30">
        <v>0</v>
      </c>
      <c r="U85" s="30">
        <v>0</v>
      </c>
      <c r="V85" s="30">
        <v>0</v>
      </c>
      <c r="W85" s="30">
        <v>0</v>
      </c>
      <c r="X85" s="54">
        <v>0</v>
      </c>
      <c r="Y85" s="13">
        <f t="shared" si="8"/>
        <v>0</v>
      </c>
      <c r="Z85" s="55">
        <v>0</v>
      </c>
      <c r="AA85" s="25" t="s">
        <v>26</v>
      </c>
    </row>
    <row r="86" spans="1:32" s="56" customFormat="1" ht="28.5" customHeight="1" x14ac:dyDescent="0.2">
      <c r="A86" s="125" t="s">
        <v>63</v>
      </c>
      <c r="B86" s="125"/>
      <c r="C86" s="125"/>
      <c r="D86" s="125"/>
      <c r="E86" s="125"/>
      <c r="F86" s="58"/>
      <c r="G86" s="58"/>
      <c r="H86" s="58"/>
      <c r="I86" s="36"/>
      <c r="J86" s="36"/>
      <c r="K86" s="47">
        <f>SUM(K74:K85)</f>
        <v>46957.2</v>
      </c>
      <c r="L86" s="47">
        <f t="shared" ref="L86:Z86" si="9">SUM(L74:L85)</f>
        <v>0</v>
      </c>
      <c r="M86" s="47">
        <f t="shared" si="9"/>
        <v>0</v>
      </c>
      <c r="N86" s="47">
        <f t="shared" si="9"/>
        <v>0</v>
      </c>
      <c r="O86" s="47">
        <f t="shared" si="9"/>
        <v>0</v>
      </c>
      <c r="P86" s="47">
        <f t="shared" si="9"/>
        <v>11693.96</v>
      </c>
      <c r="Q86" s="47">
        <f t="shared" si="9"/>
        <v>11303.900000000001</v>
      </c>
      <c r="R86" s="47">
        <f t="shared" si="9"/>
        <v>0</v>
      </c>
      <c r="S86" s="47">
        <f t="shared" si="9"/>
        <v>0</v>
      </c>
      <c r="T86" s="47">
        <f>SUM(T74:T85)</f>
        <v>23959.340000000004</v>
      </c>
      <c r="U86" s="47">
        <f t="shared" si="9"/>
        <v>0</v>
      </c>
      <c r="V86" s="47">
        <f t="shared" si="9"/>
        <v>0</v>
      </c>
      <c r="W86" s="47">
        <f t="shared" si="9"/>
        <v>0</v>
      </c>
      <c r="X86" s="47">
        <f t="shared" si="9"/>
        <v>0</v>
      </c>
      <c r="Y86" s="47">
        <f t="shared" si="9"/>
        <v>0</v>
      </c>
      <c r="Z86" s="47">
        <f t="shared" si="9"/>
        <v>0</v>
      </c>
      <c r="AA86" s="59"/>
    </row>
    <row r="87" spans="1:32" s="56" customFormat="1" ht="50.25" customHeight="1" x14ac:dyDescent="0.2">
      <c r="A87" s="40" t="s">
        <v>207</v>
      </c>
      <c r="B87" s="23" t="s">
        <v>64</v>
      </c>
      <c r="C87" s="23" t="s">
        <v>251</v>
      </c>
      <c r="D87" s="23" t="s">
        <v>257</v>
      </c>
      <c r="E87" s="29" t="s">
        <v>33</v>
      </c>
      <c r="F87" s="29" t="s">
        <v>23</v>
      </c>
      <c r="G87" s="29">
        <v>100</v>
      </c>
      <c r="H87" s="29">
        <v>0</v>
      </c>
      <c r="I87" s="109">
        <v>2022</v>
      </c>
      <c r="J87" s="109">
        <v>2022</v>
      </c>
      <c r="K87" s="24">
        <f>4904.429*1.05</f>
        <v>5149.6504500000001</v>
      </c>
      <c r="L87" s="24">
        <v>0</v>
      </c>
      <c r="M87" s="24">
        <v>0</v>
      </c>
      <c r="N87" s="24">
        <v>0</v>
      </c>
      <c r="O87" s="24">
        <f>4904.429*1.05</f>
        <v>5149.6504500000001</v>
      </c>
      <c r="P87" s="54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54">
        <v>0</v>
      </c>
      <c r="Y87" s="13">
        <f>K87-SUM(L87:X87)</f>
        <v>0</v>
      </c>
      <c r="Z87" s="66"/>
      <c r="AA87" s="25" t="s">
        <v>26</v>
      </c>
    </row>
    <row r="88" spans="1:32" s="56" customFormat="1" ht="32.25" customHeight="1" x14ac:dyDescent="0.2">
      <c r="A88" s="113" t="s">
        <v>65</v>
      </c>
      <c r="B88" s="113"/>
      <c r="C88" s="113"/>
      <c r="D88" s="113"/>
      <c r="E88" s="113"/>
      <c r="F88" s="113"/>
      <c r="G88" s="113"/>
      <c r="H88" s="113"/>
      <c r="I88" s="113"/>
      <c r="J88" s="113"/>
      <c r="K88" s="60">
        <f>SUM(K87:K87)</f>
        <v>5149.6504500000001</v>
      </c>
      <c r="L88" s="60">
        <f t="shared" ref="L88:Z88" si="10">SUM(L87:L87)</f>
        <v>0</v>
      </c>
      <c r="M88" s="60">
        <f t="shared" si="10"/>
        <v>0</v>
      </c>
      <c r="N88" s="60">
        <f t="shared" si="10"/>
        <v>0</v>
      </c>
      <c r="O88" s="60">
        <f t="shared" si="10"/>
        <v>5149.6504500000001</v>
      </c>
      <c r="P88" s="60">
        <f t="shared" si="10"/>
        <v>0</v>
      </c>
      <c r="Q88" s="60">
        <f t="shared" si="10"/>
        <v>0</v>
      </c>
      <c r="R88" s="60">
        <f t="shared" si="10"/>
        <v>0</v>
      </c>
      <c r="S88" s="60">
        <f t="shared" si="10"/>
        <v>0</v>
      </c>
      <c r="T88" s="60">
        <f t="shared" si="10"/>
        <v>0</v>
      </c>
      <c r="U88" s="60">
        <f t="shared" si="10"/>
        <v>0</v>
      </c>
      <c r="V88" s="60">
        <f t="shared" si="10"/>
        <v>0</v>
      </c>
      <c r="W88" s="60">
        <f t="shared" si="10"/>
        <v>0</v>
      </c>
      <c r="X88" s="60">
        <f t="shared" si="10"/>
        <v>0</v>
      </c>
      <c r="Y88" s="60">
        <f t="shared" si="10"/>
        <v>0</v>
      </c>
      <c r="Z88" s="60">
        <f t="shared" si="10"/>
        <v>0</v>
      </c>
      <c r="AA88" s="61"/>
    </row>
    <row r="89" spans="1:32" s="56" customFormat="1" ht="15.75" customHeight="1" x14ac:dyDescent="0.2">
      <c r="A89" s="113" t="s">
        <v>66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9">
        <f>K88+K86+K73+K53</f>
        <v>76684.66644999999</v>
      </c>
      <c r="L89" s="19">
        <f t="shared" ref="L89:Z89" si="11">L88+L86+L73+L53</f>
        <v>11927.815999999997</v>
      </c>
      <c r="M89" s="19">
        <f t="shared" si="11"/>
        <v>12650</v>
      </c>
      <c r="N89" s="19">
        <f t="shared" si="11"/>
        <v>0</v>
      </c>
      <c r="O89" s="19">
        <f t="shared" si="11"/>
        <v>5149.6504500000001</v>
      </c>
      <c r="P89" s="19">
        <f t="shared" si="11"/>
        <v>11693.96</v>
      </c>
      <c r="Q89" s="19">
        <f t="shared" si="11"/>
        <v>11303.900000000001</v>
      </c>
      <c r="R89" s="19">
        <f t="shared" si="11"/>
        <v>0</v>
      </c>
      <c r="S89" s="19">
        <f t="shared" si="11"/>
        <v>0</v>
      </c>
      <c r="T89" s="19">
        <f t="shared" si="11"/>
        <v>23959.340000000004</v>
      </c>
      <c r="U89" s="19">
        <f t="shared" si="11"/>
        <v>0</v>
      </c>
      <c r="V89" s="19">
        <f t="shared" si="11"/>
        <v>0</v>
      </c>
      <c r="W89" s="19">
        <f t="shared" si="11"/>
        <v>0</v>
      </c>
      <c r="X89" s="19">
        <f t="shared" si="11"/>
        <v>0</v>
      </c>
      <c r="Y89" s="19">
        <f t="shared" si="11"/>
        <v>0</v>
      </c>
      <c r="Z89" s="19">
        <f t="shared" si="11"/>
        <v>0</v>
      </c>
      <c r="AA89" s="19"/>
      <c r="AB89" s="62"/>
      <c r="AC89" s="62"/>
      <c r="AD89" s="62"/>
      <c r="AE89" s="62"/>
      <c r="AF89" s="62"/>
    </row>
    <row r="90" spans="1:32" s="16" customFormat="1" ht="12.75" customHeight="1" x14ac:dyDescent="0.2">
      <c r="A90" s="113" t="s">
        <v>67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9">
        <f>K89+K47</f>
        <v>194718.11444049998</v>
      </c>
      <c r="L90" s="19">
        <f t="shared" ref="L90:Z90" si="12">L89+L47</f>
        <v>16508.883675499997</v>
      </c>
      <c r="M90" s="19">
        <f t="shared" si="12"/>
        <v>63718.460529999997</v>
      </c>
      <c r="N90" s="19">
        <f t="shared" si="12"/>
        <v>36237.037580000004</v>
      </c>
      <c r="O90" s="19">
        <f t="shared" si="12"/>
        <v>9465.5058499999996</v>
      </c>
      <c r="P90" s="19">
        <f t="shared" si="12"/>
        <v>11693.96</v>
      </c>
      <c r="Q90" s="19">
        <f t="shared" si="12"/>
        <v>11303.900000000001</v>
      </c>
      <c r="R90" s="19">
        <f t="shared" si="12"/>
        <v>0</v>
      </c>
      <c r="S90" s="19">
        <f t="shared" si="12"/>
        <v>0</v>
      </c>
      <c r="T90" s="19">
        <f t="shared" si="12"/>
        <v>24998.912705000002</v>
      </c>
      <c r="U90" s="19">
        <f t="shared" si="12"/>
        <v>20791.454099999995</v>
      </c>
      <c r="V90" s="19">
        <f t="shared" si="12"/>
        <v>0</v>
      </c>
      <c r="W90" s="19">
        <f t="shared" si="12"/>
        <v>0</v>
      </c>
      <c r="X90" s="19">
        <f t="shared" si="12"/>
        <v>0</v>
      </c>
      <c r="Y90" s="19">
        <f t="shared" si="12"/>
        <v>0</v>
      </c>
      <c r="Z90" s="19">
        <f t="shared" si="12"/>
        <v>0</v>
      </c>
      <c r="AA90" s="25"/>
      <c r="AD90" s="32"/>
      <c r="AE90" s="32"/>
      <c r="AF90" s="32"/>
    </row>
    <row r="91" spans="1:32" s="16" customFormat="1" ht="20.25" customHeight="1" x14ac:dyDescent="0.2">
      <c r="A91" s="114" t="s">
        <v>68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14"/>
      <c r="Z91" s="114"/>
      <c r="AA91" s="25"/>
    </row>
    <row r="92" spans="1:32" s="16" customFormat="1" ht="78.75" customHeight="1" x14ac:dyDescent="0.2">
      <c r="A92" s="40" t="s">
        <v>208</v>
      </c>
      <c r="B92" s="12" t="s">
        <v>69</v>
      </c>
      <c r="C92" s="12" t="s">
        <v>283</v>
      </c>
      <c r="D92" s="12" t="s">
        <v>264</v>
      </c>
      <c r="E92" s="12" t="s">
        <v>70</v>
      </c>
      <c r="F92" s="4" t="s">
        <v>71</v>
      </c>
      <c r="G92" s="4">
        <v>0.5</v>
      </c>
      <c r="H92" s="4">
        <v>1</v>
      </c>
      <c r="I92" s="4">
        <v>2023</v>
      </c>
      <c r="J92" s="4">
        <v>2026</v>
      </c>
      <c r="K92" s="13">
        <f>285600*203.39*1.052*1.05*1.2/1000</f>
        <v>76997.049655679992</v>
      </c>
      <c r="L92" s="13">
        <v>0</v>
      </c>
      <c r="M92" s="13">
        <v>0</v>
      </c>
      <c r="N92" s="13">
        <v>0</v>
      </c>
      <c r="O92" s="15"/>
      <c r="P92" s="13">
        <f>K92*0.05</f>
        <v>3849.8524827839997</v>
      </c>
      <c r="Q92" s="15"/>
      <c r="R92" s="13">
        <f>(K92-P92)/2</f>
        <v>36573.598586447995</v>
      </c>
      <c r="S92" s="13">
        <f>R92</f>
        <v>36573.598586447995</v>
      </c>
      <c r="T92" s="13"/>
      <c r="U92" s="13"/>
      <c r="V92" s="13"/>
      <c r="W92" s="13"/>
      <c r="X92" s="15"/>
      <c r="Y92" s="13">
        <f t="shared" ref="Y92:Y98" si="13">K92-SUM(L92:X92)</f>
        <v>0</v>
      </c>
      <c r="Z92" s="12"/>
      <c r="AA92" s="25"/>
      <c r="AB92" s="32"/>
    </row>
    <row r="93" spans="1:32" s="16" customFormat="1" ht="80.25" customHeight="1" x14ac:dyDescent="0.2">
      <c r="A93" s="40" t="s">
        <v>209</v>
      </c>
      <c r="B93" s="12" t="s">
        <v>72</v>
      </c>
      <c r="C93" s="12" t="s">
        <v>283</v>
      </c>
      <c r="D93" s="12" t="s">
        <v>265</v>
      </c>
      <c r="E93" s="12" t="s">
        <v>70</v>
      </c>
      <c r="F93" s="4" t="s">
        <v>71</v>
      </c>
      <c r="G93" s="4">
        <v>0.5</v>
      </c>
      <c r="H93" s="4">
        <v>1</v>
      </c>
      <c r="I93" s="4">
        <v>2020</v>
      </c>
      <c r="J93" s="4">
        <v>2024</v>
      </c>
      <c r="K93" s="13">
        <f>265900*203.39*1.052*1.05*1.2/1000</f>
        <v>71685.978653519996</v>
      </c>
      <c r="L93" s="13">
        <v>0</v>
      </c>
      <c r="M93" s="13">
        <f>K93*0.05</f>
        <v>3584.2989326759998</v>
      </c>
      <c r="N93" s="15"/>
      <c r="O93" s="13">
        <f>(K93-M93)/3</f>
        <v>22700.559906947998</v>
      </c>
      <c r="P93" s="13">
        <f>O93</f>
        <v>22700.559906947998</v>
      </c>
      <c r="Q93" s="13">
        <f>P93</f>
        <v>22700.559906947998</v>
      </c>
      <c r="R93" s="13"/>
      <c r="S93" s="13"/>
      <c r="T93" s="13"/>
      <c r="U93" s="13"/>
      <c r="V93" s="13"/>
      <c r="W93" s="13"/>
      <c r="X93" s="13">
        <v>0</v>
      </c>
      <c r="Y93" s="13">
        <f t="shared" si="13"/>
        <v>0</v>
      </c>
      <c r="Z93" s="12"/>
      <c r="AA93" s="25"/>
      <c r="AB93" s="32"/>
    </row>
    <row r="94" spans="1:32" s="16" customFormat="1" ht="72" customHeight="1" x14ac:dyDescent="0.2">
      <c r="A94" s="40" t="s">
        <v>210</v>
      </c>
      <c r="B94" s="63" t="s">
        <v>73</v>
      </c>
      <c r="C94" s="107" t="s">
        <v>283</v>
      </c>
      <c r="D94" s="12" t="s">
        <v>266</v>
      </c>
      <c r="E94" s="12" t="s">
        <v>70</v>
      </c>
      <c r="F94" s="4" t="s">
        <v>71</v>
      </c>
      <c r="G94" s="4">
        <v>0.5</v>
      </c>
      <c r="H94" s="4">
        <v>1</v>
      </c>
      <c r="I94" s="110">
        <v>2020</v>
      </c>
      <c r="J94" s="110">
        <v>2024</v>
      </c>
      <c r="K94" s="13">
        <f>197230*203.39*1.052*1.05*1.2/1000</f>
        <v>53172.717449543998</v>
      </c>
      <c r="L94" s="15"/>
      <c r="M94" s="13">
        <f>K94*0.05</f>
        <v>2658.6358724771999</v>
      </c>
      <c r="N94" s="15"/>
      <c r="O94" s="13">
        <f>(K94-M94)/3</f>
        <v>16838.027192355599</v>
      </c>
      <c r="P94" s="13">
        <f>O94</f>
        <v>16838.027192355599</v>
      </c>
      <c r="Q94" s="13">
        <f>P94</f>
        <v>16838.027192355599</v>
      </c>
      <c r="R94" s="13"/>
      <c r="S94" s="13"/>
      <c r="T94" s="13"/>
      <c r="U94" s="13"/>
      <c r="V94" s="13"/>
      <c r="W94" s="13"/>
      <c r="X94" s="13">
        <v>0</v>
      </c>
      <c r="Y94" s="13">
        <f t="shared" si="13"/>
        <v>0</v>
      </c>
      <c r="Z94" s="12"/>
      <c r="AA94" s="25"/>
    </row>
    <row r="95" spans="1:32" s="16" customFormat="1" ht="69" customHeight="1" x14ac:dyDescent="0.2">
      <c r="A95" s="40" t="s">
        <v>211</v>
      </c>
      <c r="B95" s="12" t="s">
        <v>74</v>
      </c>
      <c r="C95" s="107" t="s">
        <v>283</v>
      </c>
      <c r="D95" s="12" t="s">
        <v>267</v>
      </c>
      <c r="E95" s="12" t="s">
        <v>70</v>
      </c>
      <c r="F95" s="4" t="s">
        <v>71</v>
      </c>
      <c r="G95" s="4">
        <v>0.5</v>
      </c>
      <c r="H95" s="4">
        <v>1</v>
      </c>
      <c r="I95" s="4">
        <v>2026</v>
      </c>
      <c r="J95" s="4">
        <v>2027</v>
      </c>
      <c r="K95" s="13">
        <f>47300*203.39*1.052*1.05*1.2/1000</f>
        <v>12751.96235544</v>
      </c>
      <c r="L95" s="13">
        <v>0</v>
      </c>
      <c r="M95" s="13">
        <v>0</v>
      </c>
      <c r="N95" s="13">
        <v>0</v>
      </c>
      <c r="O95" s="15"/>
      <c r="P95" s="15"/>
      <c r="Q95" s="15"/>
      <c r="R95" s="15"/>
      <c r="S95" s="13">
        <f>K95*0.05</f>
        <v>637.59811777200002</v>
      </c>
      <c r="T95" s="13">
        <f>(K95-S95)/1</f>
        <v>12114.364237668</v>
      </c>
      <c r="U95" s="15"/>
      <c r="V95" s="13"/>
      <c r="W95" s="13"/>
      <c r="X95" s="15"/>
      <c r="Y95" s="13">
        <f t="shared" si="13"/>
        <v>0</v>
      </c>
      <c r="Z95" s="12"/>
      <c r="AA95" s="25"/>
    </row>
    <row r="96" spans="1:32" s="16" customFormat="1" ht="70.5" customHeight="1" x14ac:dyDescent="0.2">
      <c r="A96" s="40" t="s">
        <v>212</v>
      </c>
      <c r="B96" s="12" t="s">
        <v>75</v>
      </c>
      <c r="C96" s="107" t="s">
        <v>283</v>
      </c>
      <c r="D96" s="12" t="s">
        <v>269</v>
      </c>
      <c r="E96" s="12" t="s">
        <v>70</v>
      </c>
      <c r="F96" s="4" t="s">
        <v>71</v>
      </c>
      <c r="G96" s="4">
        <v>0.5</v>
      </c>
      <c r="H96" s="4">
        <v>1</v>
      </c>
      <c r="I96" s="110">
        <v>2026</v>
      </c>
      <c r="J96" s="110">
        <v>2027</v>
      </c>
      <c r="K96" s="13">
        <f>42380*203.39*1.052*1.05*1.2/1000</f>
        <v>11425.542592464</v>
      </c>
      <c r="L96" s="13">
        <v>0</v>
      </c>
      <c r="M96" s="15"/>
      <c r="N96" s="15"/>
      <c r="O96" s="15"/>
      <c r="P96" s="15"/>
      <c r="Q96" s="15"/>
      <c r="R96" s="15"/>
      <c r="S96" s="13">
        <f>K96*0.05</f>
        <v>571.27712962320004</v>
      </c>
      <c r="T96" s="13">
        <f>(K96-S96)/1</f>
        <v>10854.2654628408</v>
      </c>
      <c r="U96" s="13"/>
      <c r="V96" s="15"/>
      <c r="W96" s="13"/>
      <c r="X96" s="13">
        <v>0</v>
      </c>
      <c r="Y96" s="13">
        <f t="shared" si="13"/>
        <v>0</v>
      </c>
      <c r="Z96" s="12"/>
      <c r="AA96" s="25"/>
    </row>
    <row r="97" spans="1:32" s="16" customFormat="1" ht="84.75" customHeight="1" x14ac:dyDescent="0.2">
      <c r="A97" s="40" t="s">
        <v>213</v>
      </c>
      <c r="B97" s="12" t="s">
        <v>76</v>
      </c>
      <c r="C97" s="107" t="s">
        <v>283</v>
      </c>
      <c r="D97" s="12" t="s">
        <v>268</v>
      </c>
      <c r="E97" s="12" t="s">
        <v>70</v>
      </c>
      <c r="F97" s="4" t="s">
        <v>71</v>
      </c>
      <c r="G97" s="4">
        <v>0.5</v>
      </c>
      <c r="H97" s="4">
        <v>1</v>
      </c>
      <c r="I97" s="4">
        <v>2019</v>
      </c>
      <c r="J97" s="4">
        <v>2022</v>
      </c>
      <c r="K97" s="13">
        <f>197230*203.39*1.052*1.05*1.2/1000</f>
        <v>53172.717449543998</v>
      </c>
      <c r="L97" s="13">
        <f>K97*0.05</f>
        <v>2658.6358724771999</v>
      </c>
      <c r="M97" s="13">
        <f>(K97-L97)/3</f>
        <v>16838.027192355599</v>
      </c>
      <c r="N97" s="13">
        <f>M97</f>
        <v>16838.027192355599</v>
      </c>
      <c r="O97" s="13">
        <f>N97</f>
        <v>16838.027192355599</v>
      </c>
      <c r="P97" s="13">
        <v>0</v>
      </c>
      <c r="Q97" s="13"/>
      <c r="R97" s="13"/>
      <c r="S97" s="13"/>
      <c r="T97" s="13"/>
      <c r="U97" s="13"/>
      <c r="V97" s="13"/>
      <c r="W97" s="13"/>
      <c r="X97" s="13">
        <v>0</v>
      </c>
      <c r="Y97" s="13">
        <f>K97-SUM(L97:X97)</f>
        <v>0</v>
      </c>
      <c r="Z97" s="12"/>
      <c r="AA97" s="25"/>
    </row>
    <row r="98" spans="1:32" s="16" customFormat="1" ht="74.25" customHeight="1" x14ac:dyDescent="0.2">
      <c r="A98" s="40" t="s">
        <v>214</v>
      </c>
      <c r="B98" s="12" t="s">
        <v>77</v>
      </c>
      <c r="C98" s="107" t="s">
        <v>283</v>
      </c>
      <c r="D98" s="51" t="s">
        <v>270</v>
      </c>
      <c r="E98" s="12" t="s">
        <v>70</v>
      </c>
      <c r="F98" s="4" t="s">
        <v>71</v>
      </c>
      <c r="G98" s="4">
        <v>0.5</v>
      </c>
      <c r="H98" s="4">
        <v>1</v>
      </c>
      <c r="I98" s="110">
        <v>2019</v>
      </c>
      <c r="J98" s="110">
        <v>2022</v>
      </c>
      <c r="K98" s="13">
        <v>52376.61</v>
      </c>
      <c r="L98" s="13">
        <f>K98*0.05</f>
        <v>2618.8305</v>
      </c>
      <c r="M98" s="13">
        <f>(K98-L98)/3</f>
        <v>16585.926500000001</v>
      </c>
      <c r="N98" s="13">
        <f>M98</f>
        <v>16585.926500000001</v>
      </c>
      <c r="O98" s="13">
        <f>N98</f>
        <v>16585.926500000001</v>
      </c>
      <c r="P98" s="13">
        <v>0</v>
      </c>
      <c r="Q98" s="13"/>
      <c r="R98" s="13"/>
      <c r="S98" s="13"/>
      <c r="T98" s="13"/>
      <c r="U98" s="13"/>
      <c r="V98" s="13"/>
      <c r="W98" s="13"/>
      <c r="X98" s="13">
        <v>0</v>
      </c>
      <c r="Y98" s="13">
        <f t="shared" si="13"/>
        <v>0</v>
      </c>
      <c r="Z98" s="12"/>
      <c r="AA98" s="25"/>
    </row>
    <row r="99" spans="1:32" s="16" customFormat="1" ht="80.25" customHeight="1" x14ac:dyDescent="0.2">
      <c r="A99" s="40" t="s">
        <v>215</v>
      </c>
      <c r="B99" s="63" t="s">
        <v>78</v>
      </c>
      <c r="C99" s="107" t="s">
        <v>283</v>
      </c>
      <c r="D99" s="12" t="s">
        <v>266</v>
      </c>
      <c r="E99" s="12" t="s">
        <v>70</v>
      </c>
      <c r="F99" s="4" t="s">
        <v>71</v>
      </c>
      <c r="G99" s="4">
        <v>0.5</v>
      </c>
      <c r="H99" s="4">
        <v>1</v>
      </c>
      <c r="I99" s="4">
        <v>2021</v>
      </c>
      <c r="J99" s="4">
        <v>2023</v>
      </c>
      <c r="K99" s="37">
        <v>27299.63</v>
      </c>
      <c r="L99" s="13">
        <v>0</v>
      </c>
      <c r="M99" s="13">
        <v>0</v>
      </c>
      <c r="N99" s="13">
        <f>K99*0.05</f>
        <v>1364.9815000000001</v>
      </c>
      <c r="O99" s="13">
        <f>(K99-N99)/2</f>
        <v>12967.32425</v>
      </c>
      <c r="P99" s="13">
        <f>O99</f>
        <v>12967.32425</v>
      </c>
      <c r="Q99" s="13"/>
      <c r="R99" s="13"/>
      <c r="S99" s="13"/>
      <c r="T99" s="13"/>
      <c r="U99" s="13"/>
      <c r="V99" s="13"/>
      <c r="W99" s="13"/>
      <c r="X99" s="13">
        <v>0</v>
      </c>
      <c r="Y99" s="13">
        <f>K99-SUM(L99:X99)</f>
        <v>0</v>
      </c>
      <c r="Z99" s="12"/>
      <c r="AA99" s="25"/>
    </row>
    <row r="100" spans="1:32" s="16" customFormat="1" ht="12.75" customHeight="1" x14ac:dyDescent="0.2">
      <c r="A100" s="113" t="s">
        <v>79</v>
      </c>
      <c r="B100" s="113"/>
      <c r="C100" s="113"/>
      <c r="D100" s="113"/>
      <c r="E100" s="113"/>
      <c r="F100" s="113"/>
      <c r="G100" s="113"/>
      <c r="H100" s="113"/>
      <c r="I100" s="113"/>
      <c r="J100" s="113"/>
      <c r="K100" s="19">
        <f>SUM(K92:K99)</f>
        <v>358882.20815619198</v>
      </c>
      <c r="L100" s="19">
        <f>SUM(L92:L99)</f>
        <v>5277.4663724771999</v>
      </c>
      <c r="M100" s="19">
        <f t="shared" ref="M100:Z100" si="14">SUM(M92:M99)</f>
        <v>39666.8884975088</v>
      </c>
      <c r="N100" s="19">
        <f t="shared" si="14"/>
        <v>34788.935192355602</v>
      </c>
      <c r="O100" s="19">
        <f t="shared" si="14"/>
        <v>85929.865041659199</v>
      </c>
      <c r="P100" s="19">
        <f t="shared" si="14"/>
        <v>56355.763832087592</v>
      </c>
      <c r="Q100" s="19">
        <f t="shared" si="14"/>
        <v>39538.587099303593</v>
      </c>
      <c r="R100" s="19">
        <f t="shared" si="14"/>
        <v>36573.598586447995</v>
      </c>
      <c r="S100" s="19">
        <f t="shared" si="14"/>
        <v>37782.4738338432</v>
      </c>
      <c r="T100" s="19">
        <f t="shared" si="14"/>
        <v>22968.629700508798</v>
      </c>
      <c r="U100" s="19">
        <f t="shared" si="14"/>
        <v>0</v>
      </c>
      <c r="V100" s="19">
        <f t="shared" si="14"/>
        <v>0</v>
      </c>
      <c r="W100" s="19">
        <f t="shared" si="14"/>
        <v>0</v>
      </c>
      <c r="X100" s="19">
        <f t="shared" si="14"/>
        <v>0</v>
      </c>
      <c r="Y100" s="19">
        <f t="shared" si="14"/>
        <v>0</v>
      </c>
      <c r="Z100" s="19">
        <f t="shared" si="14"/>
        <v>0</v>
      </c>
      <c r="AA100" s="20"/>
      <c r="AB100" s="39"/>
      <c r="AC100" s="39">
        <v>10011.737729999999</v>
      </c>
      <c r="AD100" s="39">
        <v>3158.2986150000002</v>
      </c>
      <c r="AE100" s="39">
        <v>66317.187420724993</v>
      </c>
      <c r="AF100" s="39">
        <v>63024.369644999999</v>
      </c>
    </row>
    <row r="101" spans="1:32" s="16" customFormat="1" ht="12.75" customHeight="1" x14ac:dyDescent="0.2">
      <c r="A101" s="114" t="s">
        <v>263</v>
      </c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25"/>
      <c r="AB101" s="32"/>
      <c r="AC101" s="32"/>
      <c r="AD101" s="32"/>
      <c r="AE101" s="32"/>
      <c r="AF101" s="32"/>
    </row>
    <row r="102" spans="1:32" s="16" customFormat="1" ht="12.75" customHeight="1" x14ac:dyDescent="0.2">
      <c r="A102" s="114" t="s">
        <v>80</v>
      </c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25"/>
      <c r="AB102" s="32"/>
      <c r="AC102" s="32"/>
      <c r="AD102" s="32"/>
      <c r="AE102" s="32"/>
      <c r="AF102" s="32"/>
    </row>
    <row r="103" spans="1:32" s="16" customFormat="1" ht="12.75" customHeight="1" x14ac:dyDescent="0.2">
      <c r="A103" s="4" t="s">
        <v>81</v>
      </c>
      <c r="B103" s="12"/>
      <c r="C103" s="12"/>
      <c r="D103" s="12"/>
      <c r="E103" s="12"/>
      <c r="F103" s="4"/>
      <c r="G103" s="4"/>
      <c r="H103" s="4"/>
      <c r="I103" s="4"/>
      <c r="J103" s="4"/>
      <c r="K103" s="13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25"/>
      <c r="AB103" s="32"/>
      <c r="AC103" s="32"/>
      <c r="AD103" s="32"/>
      <c r="AE103" s="32"/>
      <c r="AF103" s="32"/>
    </row>
    <row r="104" spans="1:32" s="16" customFormat="1" ht="12.75" customHeight="1" x14ac:dyDescent="0.2">
      <c r="A104" s="114" t="s">
        <v>271</v>
      </c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25"/>
      <c r="AB104" s="32"/>
      <c r="AC104" s="32"/>
      <c r="AD104" s="32"/>
      <c r="AE104" s="32"/>
      <c r="AF104" s="32"/>
    </row>
    <row r="105" spans="1:32" s="16" customFormat="1" ht="12.75" customHeight="1" x14ac:dyDescent="0.2">
      <c r="A105" s="4" t="s">
        <v>82</v>
      </c>
      <c r="B105" s="12"/>
      <c r="C105" s="12"/>
      <c r="D105" s="12"/>
      <c r="E105" s="12"/>
      <c r="F105" s="4"/>
      <c r="G105" s="4"/>
      <c r="H105" s="4"/>
      <c r="I105" s="4"/>
      <c r="J105" s="4"/>
      <c r="K105" s="13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25"/>
      <c r="AB105" s="32"/>
      <c r="AC105" s="32"/>
      <c r="AD105" s="32"/>
      <c r="AE105" s="32"/>
      <c r="AF105" s="32"/>
    </row>
    <row r="106" spans="1:32" s="16" customFormat="1" ht="12.75" customHeight="1" x14ac:dyDescent="0.2">
      <c r="A106" s="114" t="s">
        <v>83</v>
      </c>
      <c r="B106" s="114"/>
      <c r="C106" s="114"/>
      <c r="D106" s="114"/>
      <c r="E106" s="114"/>
      <c r="F106" s="114"/>
      <c r="G106" s="114"/>
      <c r="H106" s="114"/>
      <c r="I106" s="114"/>
      <c r="J106" s="114"/>
      <c r="K106" s="13">
        <f t="shared" ref="K106:Z106" si="15">K103+K105</f>
        <v>0</v>
      </c>
      <c r="L106" s="13">
        <f t="shared" si="15"/>
        <v>0</v>
      </c>
      <c r="M106" s="13">
        <f t="shared" si="15"/>
        <v>0</v>
      </c>
      <c r="N106" s="13">
        <f t="shared" si="15"/>
        <v>0</v>
      </c>
      <c r="O106" s="13">
        <f t="shared" si="15"/>
        <v>0</v>
      </c>
      <c r="P106" s="13">
        <f t="shared" si="15"/>
        <v>0</v>
      </c>
      <c r="Q106" s="13"/>
      <c r="R106" s="13"/>
      <c r="S106" s="13"/>
      <c r="T106" s="13"/>
      <c r="U106" s="13"/>
      <c r="V106" s="13"/>
      <c r="W106" s="13"/>
      <c r="X106" s="13">
        <f t="shared" si="15"/>
        <v>0</v>
      </c>
      <c r="Y106" s="13">
        <f t="shared" si="15"/>
        <v>0</v>
      </c>
      <c r="Z106" s="13">
        <f t="shared" si="15"/>
        <v>0</v>
      </c>
      <c r="AA106" s="25"/>
      <c r="AB106" s="32"/>
      <c r="AC106" s="32"/>
      <c r="AD106" s="32"/>
      <c r="AE106" s="32"/>
      <c r="AF106" s="32"/>
    </row>
    <row r="107" spans="1:32" s="16" customFormat="1" ht="12.75" customHeight="1" x14ac:dyDescent="0.2">
      <c r="A107" s="114" t="s">
        <v>84</v>
      </c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28"/>
    </row>
    <row r="108" spans="1:32" s="16" customFormat="1" ht="65.25" customHeight="1" x14ac:dyDescent="0.2">
      <c r="A108" s="4" t="s">
        <v>85</v>
      </c>
      <c r="B108" s="64" t="s">
        <v>86</v>
      </c>
      <c r="C108" s="90" t="s">
        <v>285</v>
      </c>
      <c r="D108" s="12" t="s">
        <v>277</v>
      </c>
      <c r="E108" s="12" t="s">
        <v>89</v>
      </c>
      <c r="F108" s="4"/>
      <c r="G108" s="4"/>
      <c r="H108" s="4"/>
      <c r="I108" s="106">
        <v>2019</v>
      </c>
      <c r="J108" s="106">
        <v>2019</v>
      </c>
      <c r="K108" s="65">
        <v>4360</v>
      </c>
      <c r="L108" s="66">
        <f>K108</f>
        <v>4360</v>
      </c>
      <c r="M108" s="66"/>
      <c r="N108" s="66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13">
        <f>K108-SUM(L108:X108)</f>
        <v>0</v>
      </c>
      <c r="Z108" s="66">
        <v>0</v>
      </c>
      <c r="AA108" s="25" t="s">
        <v>13</v>
      </c>
    </row>
    <row r="109" spans="1:32" s="16" customFormat="1" ht="61.5" customHeight="1" x14ac:dyDescent="0.2">
      <c r="A109" s="4" t="s">
        <v>87</v>
      </c>
      <c r="B109" s="64" t="s">
        <v>88</v>
      </c>
      <c r="C109" s="90" t="s">
        <v>285</v>
      </c>
      <c r="D109" s="12" t="s">
        <v>278</v>
      </c>
      <c r="E109" s="12" t="s">
        <v>89</v>
      </c>
      <c r="F109" s="4"/>
      <c r="G109" s="4"/>
      <c r="H109" s="4"/>
      <c r="I109" s="4">
        <v>2028</v>
      </c>
      <c r="J109" s="4">
        <v>2028</v>
      </c>
      <c r="K109" s="65">
        <v>3250</v>
      </c>
      <c r="L109" s="15"/>
      <c r="M109" s="66"/>
      <c r="N109" s="54"/>
      <c r="O109" s="54"/>
      <c r="P109" s="54"/>
      <c r="Q109" s="54"/>
      <c r="R109" s="54"/>
      <c r="S109" s="54"/>
      <c r="T109" s="54"/>
      <c r="U109" s="66">
        <f>K109</f>
        <v>3250</v>
      </c>
      <c r="V109" s="54"/>
      <c r="W109" s="54"/>
      <c r="X109" s="54"/>
      <c r="Y109" s="13">
        <f>K109-SUM(M109:X109)</f>
        <v>0</v>
      </c>
      <c r="Z109" s="66">
        <v>0</v>
      </c>
      <c r="AA109" s="25" t="s">
        <v>13</v>
      </c>
    </row>
    <row r="110" spans="1:32" s="16" customFormat="1" ht="81.75" customHeight="1" x14ac:dyDescent="0.2">
      <c r="A110" s="4" t="s">
        <v>90</v>
      </c>
      <c r="B110" s="64" t="s">
        <v>91</v>
      </c>
      <c r="C110" s="90" t="s">
        <v>285</v>
      </c>
      <c r="D110" s="12" t="s">
        <v>279</v>
      </c>
      <c r="E110" s="12" t="s">
        <v>89</v>
      </c>
      <c r="F110" s="4"/>
      <c r="G110" s="4"/>
      <c r="H110" s="4"/>
      <c r="I110" s="106">
        <v>2019</v>
      </c>
      <c r="J110" s="106">
        <v>2019</v>
      </c>
      <c r="K110" s="65">
        <v>5540</v>
      </c>
      <c r="L110" s="66">
        <f>K110</f>
        <v>5540</v>
      </c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54"/>
      <c r="Y110" s="13">
        <f>K110-SUM(L110:X110)</f>
        <v>0</v>
      </c>
      <c r="Z110" s="66">
        <v>0</v>
      </c>
      <c r="AA110" s="25" t="s">
        <v>13</v>
      </c>
      <c r="AB110" s="32"/>
    </row>
    <row r="111" spans="1:32" s="16" customFormat="1" ht="57.75" customHeight="1" x14ac:dyDescent="0.2">
      <c r="A111" s="4" t="s">
        <v>92</v>
      </c>
      <c r="B111" s="64" t="s">
        <v>93</v>
      </c>
      <c r="C111" s="90" t="s">
        <v>285</v>
      </c>
      <c r="D111" s="12" t="s">
        <v>280</v>
      </c>
      <c r="E111" s="12" t="s">
        <v>89</v>
      </c>
      <c r="F111" s="4"/>
      <c r="G111" s="4"/>
      <c r="H111" s="4"/>
      <c r="I111" s="106">
        <v>2019</v>
      </c>
      <c r="J111" s="106">
        <v>2019</v>
      </c>
      <c r="K111" s="65">
        <v>4108</v>
      </c>
      <c r="L111" s="66">
        <f>K111</f>
        <v>4108</v>
      </c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54"/>
      <c r="Y111" s="13">
        <f>K111-SUM(L111:X111)</f>
        <v>0</v>
      </c>
      <c r="Z111" s="66"/>
      <c r="AA111" s="25"/>
      <c r="AB111" s="32"/>
    </row>
    <row r="112" spans="1:32" s="16" customFormat="1" ht="54.75" customHeight="1" x14ac:dyDescent="0.2">
      <c r="A112" s="4" t="s">
        <v>94</v>
      </c>
      <c r="B112" s="104" t="s">
        <v>95</v>
      </c>
      <c r="C112" s="90" t="s">
        <v>285</v>
      </c>
      <c r="D112" s="12" t="s">
        <v>277</v>
      </c>
      <c r="E112" s="12" t="s">
        <v>89</v>
      </c>
      <c r="F112" s="4"/>
      <c r="G112" s="4"/>
      <c r="H112" s="4"/>
      <c r="I112" s="4">
        <v>2019</v>
      </c>
      <c r="J112" s="4">
        <v>2019</v>
      </c>
      <c r="K112" s="65">
        <v>1280</v>
      </c>
      <c r="L112" s="66">
        <f>K112</f>
        <v>1280</v>
      </c>
      <c r="M112" s="66"/>
      <c r="N112" s="66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13">
        <f>K112-SUM(L112:X112)</f>
        <v>0</v>
      </c>
      <c r="Z112" s="66">
        <v>0</v>
      </c>
      <c r="AA112" s="25" t="s">
        <v>13</v>
      </c>
    </row>
    <row r="113" spans="1:32" s="16" customFormat="1" x14ac:dyDescent="0.2">
      <c r="A113" s="113" t="s">
        <v>96</v>
      </c>
      <c r="B113" s="113"/>
      <c r="C113" s="113"/>
      <c r="D113" s="113"/>
      <c r="E113" s="113"/>
      <c r="F113" s="113"/>
      <c r="G113" s="113"/>
      <c r="H113" s="113"/>
      <c r="I113" s="113"/>
      <c r="J113" s="113"/>
      <c r="K113" s="19">
        <f>SUM(K108:K112)</f>
        <v>18538</v>
      </c>
      <c r="L113" s="19">
        <f t="shared" ref="L113:Y113" si="16">SUM(L108:L112)</f>
        <v>15288</v>
      </c>
      <c r="M113" s="19">
        <f t="shared" si="16"/>
        <v>0</v>
      </c>
      <c r="N113" s="19">
        <f t="shared" si="16"/>
        <v>0</v>
      </c>
      <c r="O113" s="19">
        <f t="shared" si="16"/>
        <v>0</v>
      </c>
      <c r="P113" s="19">
        <f t="shared" si="16"/>
        <v>0</v>
      </c>
      <c r="Q113" s="19">
        <f t="shared" si="16"/>
        <v>0</v>
      </c>
      <c r="R113" s="19">
        <f t="shared" si="16"/>
        <v>0</v>
      </c>
      <c r="S113" s="19">
        <f t="shared" si="16"/>
        <v>0</v>
      </c>
      <c r="T113" s="19">
        <f t="shared" si="16"/>
        <v>0</v>
      </c>
      <c r="U113" s="19">
        <f t="shared" si="16"/>
        <v>3250</v>
      </c>
      <c r="V113" s="19">
        <f t="shared" si="16"/>
        <v>0</v>
      </c>
      <c r="W113" s="19">
        <f t="shared" si="16"/>
        <v>0</v>
      </c>
      <c r="X113" s="19">
        <f t="shared" si="16"/>
        <v>0</v>
      </c>
      <c r="Y113" s="19">
        <f t="shared" si="16"/>
        <v>0</v>
      </c>
      <c r="Z113" s="19">
        <f>Z112+Z110+Z109+Z108</f>
        <v>0</v>
      </c>
      <c r="AA113" s="25"/>
      <c r="AB113" s="21"/>
      <c r="AC113" s="21"/>
      <c r="AD113" s="21"/>
      <c r="AE113" s="21"/>
      <c r="AF113" s="21"/>
    </row>
    <row r="114" spans="1:32" s="16" customFormat="1" x14ac:dyDescent="0.2">
      <c r="A114" s="113" t="s">
        <v>97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20"/>
      <c r="AB114" s="21"/>
      <c r="AC114" s="21"/>
      <c r="AD114" s="21"/>
      <c r="AE114" s="21"/>
      <c r="AF114" s="21"/>
    </row>
    <row r="115" spans="1:32" s="16" customFormat="1" x14ac:dyDescent="0.2">
      <c r="A115" s="113" t="s">
        <v>98</v>
      </c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  <c r="AA115" s="20"/>
      <c r="AB115" s="21"/>
      <c r="AC115" s="21"/>
      <c r="AD115" s="21"/>
      <c r="AE115" s="39">
        <f>K100-L100</f>
        <v>353604.7417837148</v>
      </c>
      <c r="AF115" s="21"/>
    </row>
    <row r="116" spans="1:32" s="16" customFormat="1" ht="58.5" customHeight="1" x14ac:dyDescent="0.2">
      <c r="A116" s="4" t="s">
        <v>99</v>
      </c>
      <c r="B116" s="12" t="s">
        <v>100</v>
      </c>
      <c r="C116" s="12" t="s">
        <v>286</v>
      </c>
      <c r="D116" s="12" t="s">
        <v>272</v>
      </c>
      <c r="E116" s="29" t="s">
        <v>33</v>
      </c>
      <c r="F116" s="108" t="s">
        <v>101</v>
      </c>
      <c r="G116" s="4">
        <v>0</v>
      </c>
      <c r="H116" s="4">
        <v>3</v>
      </c>
      <c r="I116" s="4" t="s">
        <v>102</v>
      </c>
      <c r="J116" s="4" t="s">
        <v>102</v>
      </c>
      <c r="K116" s="66">
        <v>7500</v>
      </c>
      <c r="L116" s="66">
        <v>0</v>
      </c>
      <c r="M116" s="66">
        <v>2500</v>
      </c>
      <c r="N116" s="66">
        <v>2500</v>
      </c>
      <c r="O116" s="66">
        <v>2500</v>
      </c>
      <c r="P116" s="66">
        <v>0</v>
      </c>
      <c r="Q116" s="66"/>
      <c r="R116" s="66"/>
      <c r="S116" s="66"/>
      <c r="T116" s="66"/>
      <c r="U116" s="66"/>
      <c r="V116" s="66"/>
      <c r="W116" s="66"/>
      <c r="X116" s="54">
        <v>0</v>
      </c>
      <c r="Y116" s="13">
        <f>K116-SUM(L116:X116)</f>
        <v>0</v>
      </c>
      <c r="Z116" s="54">
        <v>0</v>
      </c>
      <c r="AA116" s="25" t="s">
        <v>13</v>
      </c>
      <c r="AE116" s="32"/>
    </row>
    <row r="117" spans="1:32" s="16" customFormat="1" ht="88.5" customHeight="1" x14ac:dyDescent="0.2">
      <c r="A117" s="4" t="s">
        <v>103</v>
      </c>
      <c r="B117" s="12" t="s">
        <v>104</v>
      </c>
      <c r="C117" s="12" t="s">
        <v>287</v>
      </c>
      <c r="D117" s="105" t="s">
        <v>272</v>
      </c>
      <c r="E117" s="29" t="s">
        <v>33</v>
      </c>
      <c r="F117" s="108" t="s">
        <v>101</v>
      </c>
      <c r="G117" s="4">
        <v>0</v>
      </c>
      <c r="H117" s="4">
        <v>1</v>
      </c>
      <c r="I117" s="4">
        <v>2021</v>
      </c>
      <c r="J117" s="4">
        <v>2024</v>
      </c>
      <c r="K117" s="66">
        <v>7400</v>
      </c>
      <c r="L117" s="66">
        <v>0</v>
      </c>
      <c r="M117" s="66">
        <v>3700</v>
      </c>
      <c r="N117" s="43">
        <v>0</v>
      </c>
      <c r="O117" s="54">
        <v>0</v>
      </c>
      <c r="P117" s="54">
        <v>3700</v>
      </c>
      <c r="Q117" s="54"/>
      <c r="R117" s="54"/>
      <c r="S117" s="54"/>
      <c r="T117" s="54"/>
      <c r="U117" s="54"/>
      <c r="V117" s="54"/>
      <c r="W117" s="54"/>
      <c r="X117" s="54">
        <v>0</v>
      </c>
      <c r="Y117" s="13">
        <f>K117-SUM(L117:X117)</f>
        <v>0</v>
      </c>
      <c r="Z117" s="54">
        <v>0</v>
      </c>
      <c r="AA117" s="25" t="s">
        <v>13</v>
      </c>
      <c r="AE117" s="32"/>
    </row>
    <row r="118" spans="1:32" s="16" customFormat="1" ht="59.25" customHeight="1" x14ac:dyDescent="0.2">
      <c r="A118" s="4" t="s">
        <v>105</v>
      </c>
      <c r="B118" s="12" t="s">
        <v>106</v>
      </c>
      <c r="C118" s="12" t="s">
        <v>286</v>
      </c>
      <c r="D118" s="105" t="s">
        <v>272</v>
      </c>
      <c r="E118" s="29" t="s">
        <v>33</v>
      </c>
      <c r="F118" s="108" t="s">
        <v>101</v>
      </c>
      <c r="G118" s="4">
        <v>0</v>
      </c>
      <c r="H118" s="4">
        <v>1</v>
      </c>
      <c r="I118" s="4">
        <v>2022</v>
      </c>
      <c r="J118" s="4">
        <v>2022</v>
      </c>
      <c r="K118" s="66">
        <v>6200</v>
      </c>
      <c r="L118" s="66">
        <v>0</v>
      </c>
      <c r="M118" s="66">
        <v>0</v>
      </c>
      <c r="N118" s="15"/>
      <c r="O118" s="66">
        <v>6200</v>
      </c>
      <c r="P118" s="54">
        <v>0</v>
      </c>
      <c r="Q118" s="54"/>
      <c r="R118" s="54"/>
      <c r="S118" s="54"/>
      <c r="T118" s="54"/>
      <c r="U118" s="54"/>
      <c r="V118" s="54"/>
      <c r="W118" s="54"/>
      <c r="X118" s="54">
        <v>0</v>
      </c>
      <c r="Y118" s="13">
        <f>K118-SUM(L118:X118)</f>
        <v>0</v>
      </c>
      <c r="Z118" s="54">
        <v>0</v>
      </c>
      <c r="AA118" s="25" t="s">
        <v>13</v>
      </c>
      <c r="AE118" s="32"/>
    </row>
    <row r="119" spans="1:32" s="16" customFormat="1" ht="67.5" customHeight="1" x14ac:dyDescent="0.2">
      <c r="A119" s="4" t="s">
        <v>107</v>
      </c>
      <c r="B119" s="12" t="s">
        <v>108</v>
      </c>
      <c r="C119" s="12" t="s">
        <v>286</v>
      </c>
      <c r="D119" s="105" t="s">
        <v>272</v>
      </c>
      <c r="E119" s="29" t="s">
        <v>33</v>
      </c>
      <c r="F119" s="108" t="s">
        <v>101</v>
      </c>
      <c r="G119" s="4">
        <v>0</v>
      </c>
      <c r="H119" s="4">
        <v>1</v>
      </c>
      <c r="I119" s="4">
        <v>2022</v>
      </c>
      <c r="J119" s="4">
        <v>2022</v>
      </c>
      <c r="K119" s="66">
        <v>2180</v>
      </c>
      <c r="L119" s="54">
        <v>0</v>
      </c>
      <c r="M119" s="54">
        <v>0</v>
      </c>
      <c r="N119" s="66">
        <v>2180</v>
      </c>
      <c r="O119" s="54">
        <v>0</v>
      </c>
      <c r="P119" s="54">
        <v>0</v>
      </c>
      <c r="Q119" s="54"/>
      <c r="R119" s="54"/>
      <c r="S119" s="54"/>
      <c r="T119" s="54"/>
      <c r="U119" s="54"/>
      <c r="V119" s="54"/>
      <c r="W119" s="54"/>
      <c r="X119" s="54">
        <v>0</v>
      </c>
      <c r="Y119" s="13">
        <f>K119-SUM(L119:X119)</f>
        <v>0</v>
      </c>
      <c r="Z119" s="54">
        <v>0</v>
      </c>
      <c r="AA119" s="25" t="s">
        <v>13</v>
      </c>
    </row>
    <row r="120" spans="1:32" s="16" customFormat="1" x14ac:dyDescent="0.2">
      <c r="A120" s="114" t="s">
        <v>284</v>
      </c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4"/>
      <c r="X120" s="114"/>
      <c r="Y120" s="114"/>
      <c r="Z120" s="114"/>
      <c r="AA120" s="25"/>
    </row>
    <row r="121" spans="1:32" s="16" customFormat="1" x14ac:dyDescent="0.2">
      <c r="A121" s="4"/>
      <c r="B121" s="12"/>
      <c r="C121" s="12"/>
      <c r="D121" s="12"/>
      <c r="E121" s="12"/>
      <c r="F121" s="4"/>
      <c r="G121" s="4"/>
      <c r="H121" s="4"/>
      <c r="I121" s="4"/>
      <c r="J121" s="4"/>
      <c r="K121" s="13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25"/>
    </row>
    <row r="122" spans="1:32" s="16" customFormat="1" ht="16.5" customHeight="1" x14ac:dyDescent="0.2">
      <c r="A122" s="113" t="s">
        <v>109</v>
      </c>
      <c r="B122" s="113"/>
      <c r="C122" s="113"/>
      <c r="D122" s="113"/>
      <c r="E122" s="113"/>
      <c r="F122" s="113"/>
      <c r="G122" s="113"/>
      <c r="H122" s="113"/>
      <c r="I122" s="113"/>
      <c r="J122" s="113"/>
      <c r="K122" s="19">
        <f>SUM(K116:K119)</f>
        <v>23280</v>
      </c>
      <c r="L122" s="19">
        <f t="shared" ref="L122:Z122" si="17">SUM(L116:L119)</f>
        <v>0</v>
      </c>
      <c r="M122" s="19">
        <f t="shared" si="17"/>
        <v>6200</v>
      </c>
      <c r="N122" s="19">
        <f t="shared" si="17"/>
        <v>4680</v>
      </c>
      <c r="O122" s="19">
        <f t="shared" si="17"/>
        <v>8700</v>
      </c>
      <c r="P122" s="19">
        <f t="shared" si="17"/>
        <v>3700</v>
      </c>
      <c r="Q122" s="19">
        <f t="shared" si="17"/>
        <v>0</v>
      </c>
      <c r="R122" s="19">
        <f t="shared" si="17"/>
        <v>0</v>
      </c>
      <c r="S122" s="19">
        <f t="shared" si="17"/>
        <v>0</v>
      </c>
      <c r="T122" s="19">
        <f t="shared" si="17"/>
        <v>0</v>
      </c>
      <c r="U122" s="19">
        <f t="shared" si="17"/>
        <v>0</v>
      </c>
      <c r="V122" s="19">
        <f t="shared" si="17"/>
        <v>0</v>
      </c>
      <c r="W122" s="19">
        <f t="shared" si="17"/>
        <v>0</v>
      </c>
      <c r="X122" s="19">
        <f t="shared" si="17"/>
        <v>0</v>
      </c>
      <c r="Y122" s="19">
        <f t="shared" si="17"/>
        <v>0</v>
      </c>
      <c r="Z122" s="19">
        <f t="shared" si="17"/>
        <v>0</v>
      </c>
      <c r="AA122" s="25"/>
      <c r="AB122" s="21"/>
      <c r="AC122" s="21"/>
      <c r="AD122" s="21"/>
      <c r="AE122" s="21"/>
      <c r="AF122" s="21"/>
    </row>
    <row r="123" spans="1:32" s="16" customFormat="1" ht="15.75" customHeight="1" x14ac:dyDescent="0.2">
      <c r="A123" s="127" t="s">
        <v>110</v>
      </c>
      <c r="B123" s="127"/>
      <c r="C123" s="127"/>
      <c r="D123" s="127"/>
      <c r="E123" s="127"/>
      <c r="F123" s="127"/>
      <c r="G123" s="127"/>
      <c r="H123" s="127"/>
      <c r="I123" s="127"/>
      <c r="J123" s="127"/>
      <c r="K123" s="19">
        <f t="shared" ref="K123:Z123" si="18">K26+K34+K90+K100+K122+K113</f>
        <v>984676.67659669206</v>
      </c>
      <c r="L123" s="19">
        <f t="shared" si="18"/>
        <v>37074.350047977197</v>
      </c>
      <c r="M123" s="19">
        <f t="shared" si="18"/>
        <v>109585.3490275088</v>
      </c>
      <c r="N123" s="19">
        <f t="shared" si="18"/>
        <v>108635.61277235561</v>
      </c>
      <c r="O123" s="19">
        <f t="shared" si="18"/>
        <v>110093.9958916592</v>
      </c>
      <c r="P123" s="19">
        <f t="shared" si="18"/>
        <v>108116.57133208759</v>
      </c>
      <c r="Q123" s="19">
        <f t="shared" si="18"/>
        <v>108886.41293263693</v>
      </c>
      <c r="R123" s="19">
        <f t="shared" si="18"/>
        <v>111710.53441978132</v>
      </c>
      <c r="S123" s="19">
        <f t="shared" si="18"/>
        <v>108368.09966717655</v>
      </c>
      <c r="T123" s="19">
        <f t="shared" si="18"/>
        <v>109336.76940550881</v>
      </c>
      <c r="U123" s="19">
        <f t="shared" si="18"/>
        <v>72868.981100000005</v>
      </c>
      <c r="V123" s="19">
        <f t="shared" si="18"/>
        <v>0</v>
      </c>
      <c r="W123" s="19">
        <f t="shared" si="18"/>
        <v>0</v>
      </c>
      <c r="X123" s="19">
        <f t="shared" si="18"/>
        <v>0</v>
      </c>
      <c r="Y123" s="19">
        <f t="shared" si="18"/>
        <v>0</v>
      </c>
      <c r="Z123" s="19">
        <f t="shared" si="18"/>
        <v>0</v>
      </c>
      <c r="AA123" s="24"/>
      <c r="AB123" s="68"/>
    </row>
    <row r="124" spans="1:32" ht="13.5" customHeight="1" x14ac:dyDescent="0.2">
      <c r="A124" s="127" t="s">
        <v>111</v>
      </c>
      <c r="B124" s="127"/>
      <c r="C124" s="127"/>
      <c r="D124" s="127"/>
      <c r="E124" s="127"/>
      <c r="F124" s="127"/>
      <c r="G124" s="127"/>
      <c r="H124" s="127"/>
      <c r="I124" s="127"/>
      <c r="J124" s="127"/>
      <c r="K124" s="19">
        <f t="shared" ref="K124:X124" si="19">K89</f>
        <v>76684.66644999999</v>
      </c>
      <c r="L124" s="19">
        <f t="shared" si="19"/>
        <v>11927.815999999997</v>
      </c>
      <c r="M124" s="19">
        <f t="shared" si="19"/>
        <v>12650</v>
      </c>
      <c r="N124" s="19">
        <f t="shared" si="19"/>
        <v>0</v>
      </c>
      <c r="O124" s="19">
        <f t="shared" si="19"/>
        <v>5149.6504500000001</v>
      </c>
      <c r="P124" s="19">
        <f t="shared" si="19"/>
        <v>11693.96</v>
      </c>
      <c r="Q124" s="19">
        <f t="shared" si="19"/>
        <v>11303.900000000001</v>
      </c>
      <c r="R124" s="19">
        <f t="shared" si="19"/>
        <v>0</v>
      </c>
      <c r="S124" s="19">
        <f t="shared" si="19"/>
        <v>0</v>
      </c>
      <c r="T124" s="19">
        <f t="shared" si="19"/>
        <v>23959.340000000004</v>
      </c>
      <c r="U124" s="19">
        <f t="shared" si="19"/>
        <v>0</v>
      </c>
      <c r="V124" s="19">
        <f t="shared" si="19"/>
        <v>0</v>
      </c>
      <c r="W124" s="19">
        <f t="shared" si="19"/>
        <v>0</v>
      </c>
      <c r="X124" s="19">
        <f t="shared" si="19"/>
        <v>0</v>
      </c>
      <c r="Y124" s="19">
        <f>SUM(Y50:Y72)</f>
        <v>0</v>
      </c>
      <c r="Z124" s="19">
        <f>SUM(Z50:Z72)</f>
        <v>0</v>
      </c>
      <c r="AA124" s="25"/>
    </row>
    <row r="125" spans="1:32" ht="15" customHeight="1" x14ac:dyDescent="0.2">
      <c r="A125" s="127" t="s">
        <v>112</v>
      </c>
      <c r="B125" s="127"/>
      <c r="C125" s="127"/>
      <c r="D125" s="127"/>
      <c r="E125" s="127"/>
      <c r="F125" s="127"/>
      <c r="G125" s="127"/>
      <c r="H125" s="127"/>
      <c r="I125" s="127"/>
      <c r="J125" s="127"/>
      <c r="K125" s="19">
        <f t="shared" ref="K125:Z125" si="20">SUM(K26)</f>
        <v>32929.64</v>
      </c>
      <c r="L125" s="19">
        <f t="shared" si="20"/>
        <v>0</v>
      </c>
      <c r="M125" s="19">
        <f t="shared" si="20"/>
        <v>0</v>
      </c>
      <c r="N125" s="19">
        <f t="shared" si="20"/>
        <v>32929.64</v>
      </c>
      <c r="O125" s="19">
        <f t="shared" si="20"/>
        <v>0</v>
      </c>
      <c r="P125" s="19">
        <f t="shared" si="20"/>
        <v>0</v>
      </c>
      <c r="Q125" s="19">
        <f t="shared" si="20"/>
        <v>0</v>
      </c>
      <c r="R125" s="19">
        <f t="shared" si="20"/>
        <v>0</v>
      </c>
      <c r="S125" s="19">
        <f t="shared" si="20"/>
        <v>0</v>
      </c>
      <c r="T125" s="19">
        <f t="shared" si="20"/>
        <v>0</v>
      </c>
      <c r="U125" s="19">
        <f t="shared" si="20"/>
        <v>0</v>
      </c>
      <c r="V125" s="19">
        <f t="shared" si="20"/>
        <v>0</v>
      </c>
      <c r="W125" s="19">
        <f t="shared" si="20"/>
        <v>0</v>
      </c>
      <c r="X125" s="19">
        <f t="shared" si="20"/>
        <v>0</v>
      </c>
      <c r="Y125" s="19">
        <f t="shared" si="20"/>
        <v>0</v>
      </c>
      <c r="Z125" s="19">
        <f t="shared" si="20"/>
        <v>0</v>
      </c>
      <c r="AA125" s="25"/>
    </row>
    <row r="126" spans="1:32" ht="12.75" customHeight="1" x14ac:dyDescent="0.2">
      <c r="A126" s="91"/>
      <c r="B126" s="67"/>
      <c r="C126" s="67"/>
      <c r="D126" s="67"/>
      <c r="E126" s="67"/>
      <c r="F126" s="67"/>
      <c r="G126" s="67"/>
      <c r="H126" s="67"/>
      <c r="I126" s="67"/>
      <c r="J126" s="67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25"/>
    </row>
    <row r="127" spans="1:32" ht="21.75" customHeight="1" x14ac:dyDescent="0.2">
      <c r="A127" s="92"/>
      <c r="B127" s="128" t="s">
        <v>113</v>
      </c>
      <c r="C127" s="128"/>
      <c r="D127" s="93"/>
      <c r="E127" s="93"/>
      <c r="F127" s="93"/>
      <c r="G127" s="93"/>
      <c r="H127" s="93"/>
      <c r="I127" s="93"/>
      <c r="J127" s="93"/>
      <c r="K127" s="94">
        <f>SUM(L127:X127)</f>
        <v>984676.67659669195</v>
      </c>
      <c r="L127" s="94">
        <f>L123</f>
        <v>37074.350047977197</v>
      </c>
      <c r="M127" s="94">
        <f t="shared" ref="M127:X127" si="21">M123</f>
        <v>109585.3490275088</v>
      </c>
      <c r="N127" s="94">
        <f t="shared" si="21"/>
        <v>108635.61277235561</v>
      </c>
      <c r="O127" s="94">
        <f t="shared" si="21"/>
        <v>110093.9958916592</v>
      </c>
      <c r="P127" s="94">
        <f t="shared" si="21"/>
        <v>108116.57133208759</v>
      </c>
      <c r="Q127" s="94">
        <f t="shared" si="21"/>
        <v>108886.41293263693</v>
      </c>
      <c r="R127" s="94">
        <f t="shared" si="21"/>
        <v>111710.53441978132</v>
      </c>
      <c r="S127" s="94">
        <f t="shared" si="21"/>
        <v>108368.09966717655</v>
      </c>
      <c r="T127" s="94">
        <f t="shared" si="21"/>
        <v>109336.76940550881</v>
      </c>
      <c r="U127" s="94">
        <f t="shared" si="21"/>
        <v>72868.981100000005</v>
      </c>
      <c r="V127" s="94">
        <f t="shared" si="21"/>
        <v>0</v>
      </c>
      <c r="W127" s="94">
        <f t="shared" si="21"/>
        <v>0</v>
      </c>
      <c r="X127" s="94">
        <f t="shared" si="21"/>
        <v>0</v>
      </c>
      <c r="Y127" s="94"/>
      <c r="Z127" s="94"/>
      <c r="AA127" s="18"/>
    </row>
    <row r="128" spans="1:32" ht="12.75" customHeight="1" x14ac:dyDescent="0.2">
      <c r="A128" s="69"/>
      <c r="B128" s="70"/>
      <c r="C128" s="70"/>
      <c r="D128" s="70"/>
      <c r="E128" s="70"/>
      <c r="F128" s="70"/>
      <c r="G128" s="70"/>
      <c r="H128" s="70"/>
      <c r="I128" s="70"/>
      <c r="J128" s="70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2"/>
      <c r="AB128" s="73"/>
      <c r="AC128" s="73"/>
      <c r="AD128" s="73"/>
      <c r="AE128" s="73"/>
      <c r="AF128" s="73"/>
    </row>
    <row r="129" spans="1:32" ht="12.75" customHeight="1" x14ac:dyDescent="0.2">
      <c r="A129" s="69"/>
      <c r="B129" s="70"/>
      <c r="C129" s="70"/>
      <c r="D129" s="70"/>
      <c r="E129" s="70"/>
      <c r="F129" s="70"/>
      <c r="G129" s="70"/>
      <c r="H129" s="70"/>
      <c r="I129" s="70"/>
      <c r="J129" s="70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2"/>
      <c r="AB129" s="73"/>
      <c r="AC129" s="73"/>
      <c r="AD129" s="73"/>
      <c r="AE129" s="73"/>
      <c r="AF129" s="73"/>
    </row>
    <row r="130" spans="1:32" ht="12.75" customHeight="1" x14ac:dyDescent="0.2">
      <c r="A130" s="69"/>
      <c r="B130" s="70"/>
      <c r="C130" s="70"/>
      <c r="D130" s="70"/>
      <c r="E130" s="70"/>
      <c r="F130" s="70"/>
      <c r="G130" s="70"/>
      <c r="H130" s="70"/>
      <c r="I130" s="70"/>
      <c r="J130" s="70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4"/>
      <c r="AA130" s="72"/>
      <c r="AB130" s="73"/>
      <c r="AC130" s="73"/>
      <c r="AD130" s="73"/>
      <c r="AE130" s="73"/>
      <c r="AF130" s="73"/>
    </row>
    <row r="131" spans="1:32" ht="15.75" x14ac:dyDescent="0.25">
      <c r="A131" s="74"/>
      <c r="B131" s="97" t="s">
        <v>117</v>
      </c>
      <c r="C131" s="75"/>
      <c r="D131" s="75"/>
      <c r="E131" s="96" t="s">
        <v>119</v>
      </c>
      <c r="F131" s="74"/>
      <c r="G131" s="74"/>
      <c r="H131" s="74"/>
      <c r="I131" s="74"/>
      <c r="J131" s="74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4"/>
      <c r="Z131" s="74"/>
      <c r="AA131" s="77"/>
      <c r="AF131" s="2">
        <f>AE125-AF125</f>
        <v>0</v>
      </c>
    </row>
    <row r="132" spans="1:32" ht="18" x14ac:dyDescent="0.25">
      <c r="A132" s="74"/>
      <c r="B132" s="100" t="s">
        <v>118</v>
      </c>
      <c r="C132" s="95"/>
      <c r="D132" s="95"/>
      <c r="E132" s="100" t="s">
        <v>273</v>
      </c>
      <c r="H132" s="95"/>
      <c r="I132" s="95"/>
      <c r="J132" s="95"/>
      <c r="K132" s="95"/>
      <c r="L132" s="95"/>
      <c r="M132" s="95"/>
      <c r="N132" s="95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8"/>
    </row>
    <row r="133" spans="1:32" ht="18" x14ac:dyDescent="0.25">
      <c r="F133" s="95"/>
      <c r="G133" s="95"/>
    </row>
    <row r="134" spans="1:32" ht="15.75" x14ac:dyDescent="0.25">
      <c r="B134" s="99" t="s">
        <v>127</v>
      </c>
      <c r="E134" s="102" t="s">
        <v>121</v>
      </c>
      <c r="AA134" s="77"/>
    </row>
    <row r="135" spans="1:32" x14ac:dyDescent="0.2">
      <c r="A135" s="79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2" ht="15.75" x14ac:dyDescent="0.25">
      <c r="A136" s="79"/>
      <c r="B136" s="99" t="s">
        <v>120</v>
      </c>
      <c r="E136" s="99" t="s">
        <v>122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8" spans="1:32" ht="15.75" x14ac:dyDescent="0.2">
      <c r="B138" s="97" t="s">
        <v>123</v>
      </c>
      <c r="E138" s="97" t="s">
        <v>289</v>
      </c>
      <c r="L138" s="3"/>
      <c r="M138" s="3"/>
      <c r="AA138" s="77"/>
    </row>
    <row r="139" spans="1:32" ht="15.75" x14ac:dyDescent="0.2">
      <c r="B139" s="98" t="s">
        <v>124</v>
      </c>
      <c r="E139" s="97" t="s">
        <v>290</v>
      </c>
      <c r="L139" s="3"/>
    </row>
    <row r="141" spans="1:32" ht="15.75" x14ac:dyDescent="0.25">
      <c r="B141" s="99" t="s">
        <v>125</v>
      </c>
      <c r="E141" s="99" t="s">
        <v>291</v>
      </c>
    </row>
    <row r="143" spans="1:32" ht="63.75" hidden="1" customHeight="1" x14ac:dyDescent="0.2">
      <c r="A143" s="4" t="s">
        <v>114</v>
      </c>
      <c r="B143" s="12" t="s">
        <v>115</v>
      </c>
      <c r="C143" s="12" t="s">
        <v>32</v>
      </c>
      <c r="D143" s="12" t="s">
        <v>116</v>
      </c>
      <c r="E143" s="4" t="s">
        <v>33</v>
      </c>
      <c r="F143" s="4" t="s">
        <v>23</v>
      </c>
      <c r="G143" s="4">
        <v>100</v>
      </c>
      <c r="H143" s="4">
        <v>0</v>
      </c>
      <c r="I143" s="12">
        <v>2023</v>
      </c>
      <c r="J143" s="12">
        <v>2025</v>
      </c>
      <c r="K143" s="13">
        <v>298093.11</v>
      </c>
      <c r="L143" s="37">
        <v>1605.15</v>
      </c>
      <c r="M143" s="13">
        <v>0</v>
      </c>
      <c r="N143" s="13">
        <v>0</v>
      </c>
      <c r="O143" s="13">
        <f>58331.7+40261.03</f>
        <v>98592.73</v>
      </c>
      <c r="P143" s="13">
        <f>46269.7+44946.23</f>
        <v>91215.93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13">
        <f>44640.11+34318.67+27720.52</f>
        <v>106679.3</v>
      </c>
    </row>
    <row r="144" spans="1:32" ht="15.75" x14ac:dyDescent="0.2">
      <c r="B144" s="101" t="s">
        <v>126</v>
      </c>
      <c r="E144" s="101" t="s">
        <v>292</v>
      </c>
    </row>
  </sheetData>
  <protectedRanges>
    <protectedRange sqref="Z1:AA2" name="БУХГ и ШИШУЛИНА_1" securityDescriptor="O:WDG:WDD:(A;;CC;;;S-1-5-21-1141646256-4231841686-1616579360-1128)(A;;CC;;;S-1-5-21-1141646256-4231841686-1616579360-24967626)(A;;CC;;;S-1-5-21-1141646256-4231841686-1616579360-24967631)(A;;CC;;;S-1-5-21-1141646256-4231841686-1616579360-24951606)(A;;CC;;;S-1-5-21-1141646256-4231841686-1616579360-24977105)(A;;CC;;;S-1-5-21-1141646256-4231841686-1616579360-1129)(A;;CC;;;S-1-5-21-1141646256-4231841686-1616579360-24975644)(A;;CC;;;S-1-5-21-1141646256-4231841686-1616579360-1130)(A;;CC;;;S-1-5-21-1141646256-4231841686-1616579360-1126)"/>
    <protectedRange sqref="T1 X3 Y2" name="БУХГ и ШИШУЛИНА_1_1" securityDescriptor="O:WDG:WDD:(A;;CC;;;S-1-5-21-1141646256-4231841686-1616579360-1128)(A;;CC;;;S-1-5-21-1141646256-4231841686-1616579360-24967626)(A;;CC;;;S-1-5-21-1141646256-4231841686-1616579360-24967631)(A;;CC;;;S-1-5-21-1141646256-4231841686-1616579360-24951606)(A;;CC;;;S-1-5-21-1141646256-4231841686-1616579360-24977105)(A;;CC;;;S-1-5-21-1141646256-4231841686-1616579360-1129)(A;;CC;;;S-1-5-21-1141646256-4231841686-1616579360-24975644)(A;;CC;;;S-1-5-21-1141646256-4231841686-1616579360-1130)(A;;CC;;;S-1-5-21-1141646256-4231841686-1616579360-1126)"/>
  </protectedRanges>
  <mergeCells count="54">
    <mergeCell ref="T1:Z3"/>
    <mergeCell ref="A123:J123"/>
    <mergeCell ref="A124:J124"/>
    <mergeCell ref="A125:J125"/>
    <mergeCell ref="B127:C127"/>
    <mergeCell ref="A122:J122"/>
    <mergeCell ref="A114:Z114"/>
    <mergeCell ref="A115:Z115"/>
    <mergeCell ref="A91:Z91"/>
    <mergeCell ref="A100:J100"/>
    <mergeCell ref="A101:Z101"/>
    <mergeCell ref="A102:Z102"/>
    <mergeCell ref="A104:Z104"/>
    <mergeCell ref="A120:Z120"/>
    <mergeCell ref="A90:J90"/>
    <mergeCell ref="A27:Z27"/>
    <mergeCell ref="A86:E86"/>
    <mergeCell ref="A88:J88"/>
    <mergeCell ref="A89:J89"/>
    <mergeCell ref="A34:J34"/>
    <mergeCell ref="A35:Z35"/>
    <mergeCell ref="A36:Z36"/>
    <mergeCell ref="A47:J47"/>
    <mergeCell ref="A48:Z48"/>
    <mergeCell ref="A106:J106"/>
    <mergeCell ref="A107:Z107"/>
    <mergeCell ref="A113:J113"/>
    <mergeCell ref="AA12:AA15"/>
    <mergeCell ref="E13:E14"/>
    <mergeCell ref="F13:F14"/>
    <mergeCell ref="G13:H13"/>
    <mergeCell ref="K13:K14"/>
    <mergeCell ref="L13:X13"/>
    <mergeCell ref="Y13:Y14"/>
    <mergeCell ref="Z13:Z14"/>
    <mergeCell ref="I12:I14"/>
    <mergeCell ref="J12:J14"/>
    <mergeCell ref="K12:Z12"/>
    <mergeCell ref="A53:D53"/>
    <mergeCell ref="A73:D73"/>
    <mergeCell ref="A6:Z6"/>
    <mergeCell ref="A26:J26"/>
    <mergeCell ref="A17:Z17"/>
    <mergeCell ref="A18:Z18"/>
    <mergeCell ref="A20:Z20"/>
    <mergeCell ref="A22:Z22"/>
    <mergeCell ref="A24:Z24"/>
    <mergeCell ref="A12:A14"/>
    <mergeCell ref="B12:B14"/>
    <mergeCell ref="C12:C14"/>
    <mergeCell ref="D12:D14"/>
    <mergeCell ref="E12:H12"/>
    <mergeCell ref="A9:Z10"/>
    <mergeCell ref="A7:Z7"/>
  </mergeCells>
  <pageMargins left="3.937007874015748E-2" right="0" top="0.59055118110236227" bottom="0.15748031496062992" header="0.31496062992125984" footer="0.31496062992125984"/>
  <pageSetup paperSize="9" scale="37" fitToHeight="5" orientation="landscape" r:id="rId1"/>
  <headerFooter differentFirst="1">
    <oddHeader>&amp;C&amp;P</oddHead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Задание и перечень мероприятий</vt:lpstr>
      <vt:lpstr>'Задание и перечень мероприятий'!Заголовки_для_печати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PrikhodkoNN</dc:creator>
  <cp:lastModifiedBy>Рыбинск</cp:lastModifiedBy>
  <cp:lastPrinted>2019-09-25T05:39:38Z</cp:lastPrinted>
  <dcterms:created xsi:type="dcterms:W3CDTF">2019-05-17T10:42:07Z</dcterms:created>
  <dcterms:modified xsi:type="dcterms:W3CDTF">2019-09-25T05:46:31Z</dcterms:modified>
</cp:coreProperties>
</file>